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1DSWFuF7+Go0jfDihJWqt/1iPm0Zf4a2q4zY8wwFhUfpWtQtUZnF1+1alOE1ueJowXIJche9qpFlmRdFWdrf7Q==" workbookSaltValue="ljE3guokgq9/bsc4Xfeq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I13" i="14" l="1"/>
  <c r="BG17" i="13"/>
  <c r="R8" i="9"/>
  <c r="T22" i="11" s="1"/>
  <c r="T17"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X17" i="17"/>
  <c r="AA16" i="16"/>
  <c r="X18" i="17"/>
  <c r="X22" i="20"/>
  <c r="X17" i="20"/>
  <c r="AZ12" i="11"/>
  <c r="AZ22" i="11"/>
  <c r="L11" i="2"/>
  <c r="L19" i="2"/>
  <c r="L25" i="2"/>
  <c r="X9" i="16"/>
  <c r="X31" i="16" s="1"/>
  <c r="R13" i="17"/>
  <c r="S13" i="17" s="1"/>
  <c r="P13" i="14"/>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H26" i="16"/>
  <c r="BF23" i="13"/>
  <c r="AM17" i="11"/>
  <c r="AQ26" i="21"/>
  <c r="AO26" i="17"/>
  <c r="R13" i="14"/>
  <c r="X12" i="16"/>
  <c r="L29" i="2"/>
  <c r="L21" i="2"/>
  <c r="L13" i="2"/>
  <c r="AZ28" i="11"/>
  <c r="AZ20" i="11"/>
  <c r="V21" i="16"/>
  <c r="U10" i="21"/>
  <c r="AA9" i="16"/>
  <c r="AA20" i="16"/>
  <c r="X21" i="17"/>
  <c r="AA10" i="16"/>
  <c r="V16" i="20"/>
  <c r="V23" i="20" s="1"/>
  <c r="V19" i="16"/>
  <c r="AA12" i="21"/>
  <c r="X19" i="20"/>
  <c r="T18" i="20"/>
  <c r="X9" i="17"/>
  <c r="AA18" i="16"/>
  <c r="X13" i="17"/>
  <c r="AA17" i="16"/>
  <c r="AA28" i="16"/>
  <c r="T18" i="11"/>
  <c r="S16" i="14"/>
  <c r="V16" i="14" s="1"/>
  <c r="T11" i="11"/>
  <c r="T25" i="11"/>
  <c r="T13" i="11"/>
  <c r="R19" i="14"/>
  <c r="R12" i="14"/>
  <c r="S29" i="14"/>
  <c r="V29" i="14" s="1"/>
  <c r="S19" i="14"/>
  <c r="V19" i="14" s="1"/>
  <c r="AA25" i="16"/>
  <c r="S11" i="14"/>
  <c r="V11" i="14" s="1"/>
  <c r="V13" i="16"/>
  <c r="T12" i="11"/>
  <c r="X12" i="21"/>
  <c r="T9" i="11"/>
  <c r="BF11" i="11"/>
  <c r="BH11" i="16"/>
  <c r="BH21" i="16"/>
  <c r="S20" i="14"/>
  <c r="V20" i="14" s="1"/>
  <c r="BL9" i="11"/>
  <c r="Q9" i="11" s="1"/>
  <c r="BK13" i="11"/>
  <c r="BH18" i="16"/>
  <c r="BH16" i="11"/>
  <c r="BF19" i="11"/>
  <c r="BH19" i="16"/>
  <c r="BJ19" i="11"/>
  <c r="P18" i="17"/>
  <c r="BL18" i="11"/>
  <c r="P18" i="11" s="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Q17" i="11" s="1"/>
  <c r="BF10" i="11"/>
  <c r="BL12" i="11"/>
  <c r="BK21" i="11"/>
  <c r="V11" i="11"/>
  <c r="BI25" i="11"/>
  <c r="BM12" i="11"/>
  <c r="V13" i="11"/>
  <c r="V9" i="11"/>
  <c r="BI19" i="11"/>
  <c r="BJ16" i="11"/>
  <c r="AP22" i="20"/>
  <c r="AP16" i="20"/>
  <c r="R25" i="14"/>
  <c r="BH13" i="11"/>
  <c r="V20" i="11"/>
  <c r="BL13" i="11"/>
  <c r="P13" i="11" s="1"/>
  <c r="BL25" i="11"/>
  <c r="Q25" i="11" s="1"/>
  <c r="BH18" i="11"/>
  <c r="BG19" i="11"/>
  <c r="BM16" i="11"/>
  <c r="AZ9" i="11"/>
  <c r="AO28" i="17"/>
  <c r="BL29" i="11"/>
  <c r="BJ25" i="11"/>
  <c r="T16" i="16"/>
  <c r="AZ16" i="11"/>
  <c r="AZ23" i="11" s="1"/>
  <c r="AZ26" i="11" s="1"/>
  <c r="BW20" i="20"/>
  <c r="BU16" i="17"/>
  <c r="BV19" i="16"/>
  <c r="BW19" i="20"/>
  <c r="BV18" i="16"/>
  <c r="X20" i="16"/>
  <c r="BW18" i="20"/>
  <c r="BU10" i="17"/>
  <c r="BV12" i="16"/>
  <c r="BW25" i="20"/>
  <c r="BW12" i="20"/>
  <c r="BU22" i="17"/>
  <c r="BV16" i="16"/>
  <c r="U13" i="17"/>
  <c r="BW16" i="20"/>
  <c r="BU20" i="17"/>
  <c r="U10" i="17"/>
  <c r="BW29" i="20"/>
  <c r="BV10" i="16"/>
  <c r="BU18" i="17"/>
  <c r="V12" i="16"/>
  <c r="BU12" i="17"/>
  <c r="S28" i="17"/>
  <c r="T16" i="11"/>
  <c r="Q18" i="17"/>
  <c r="BH10" i="11"/>
  <c r="AQ10" i="21"/>
  <c r="AO29" i="17"/>
  <c r="S10" i="17"/>
  <c r="BI29" i="11"/>
  <c r="BG17" i="11"/>
  <c r="BM21" i="11"/>
  <c r="Q21" i="11" s="1"/>
  <c r="AO25" i="17"/>
  <c r="BJ17" i="11"/>
  <c r="BL17" i="11"/>
  <c r="BH22" i="11"/>
  <c r="BH23" i="11" s="1"/>
  <c r="X12" i="17"/>
  <c r="X22" i="16"/>
  <c r="L12" i="2"/>
  <c r="X10" i="21"/>
  <c r="X31" i="21" s="1"/>
  <c r="L20" i="2"/>
  <c r="V10" i="16"/>
  <c r="V9" i="16"/>
  <c r="X13" i="16"/>
  <c r="BW22" i="20"/>
  <c r="BV29" i="16"/>
  <c r="BW21" i="20"/>
  <c r="BV9" i="16"/>
  <c r="BV14" i="16" s="1"/>
  <c r="AZ17" i="11"/>
  <c r="BG12" i="11"/>
  <c r="BI20" i="11"/>
  <c r="BI9" i="11"/>
  <c r="BL28" i="11"/>
  <c r="BL10" i="11"/>
  <c r="BH10" i="16"/>
  <c r="BH11" i="11"/>
  <c r="S18" i="17"/>
  <c r="BM9" i="11"/>
  <c r="P9" i="11" s="1"/>
  <c r="BH12" i="16"/>
  <c r="BK22" i="11"/>
  <c r="BK23" i="11" s="1"/>
  <c r="L22" i="2"/>
  <c r="S16" i="17"/>
  <c r="S17" i="17"/>
  <c r="X19" i="16"/>
  <c r="U9" i="17"/>
  <c r="U31" i="17" s="1"/>
  <c r="T28" i="11"/>
  <c r="T19" i="11"/>
  <c r="R28" i="14"/>
  <c r="R18" i="14"/>
  <c r="S28" i="14"/>
  <c r="V28" i="14" s="1"/>
  <c r="S21" i="14"/>
  <c r="V21" i="14" s="1"/>
  <c r="S10" i="14"/>
  <c r="V10" i="14" s="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S14" i="14"/>
  <c r="BH14" i="11"/>
  <c r="BL23" i="11"/>
  <c r="P16" i="11"/>
  <c r="AQ17" i="11"/>
  <c r="Q13" i="11"/>
  <c r="BV30" i="16"/>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N32" i="16"/>
  <c r="R32" i="16"/>
  <c r="E32" i="17"/>
  <c r="S32" i="11"/>
  <c r="BE32" i="21"/>
  <c r="J32" i="16"/>
  <c r="AN32" i="16"/>
  <c r="AU32" i="21"/>
  <c r="AE32" i="17"/>
  <c r="F32" i="16"/>
  <c r="AC32" i="17"/>
  <c r="AF32" i="16"/>
  <c r="E32" i="12"/>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AH32" i="16"/>
  <c r="AM32" i="11"/>
  <c r="Q32" i="17"/>
  <c r="BC32" i="16"/>
  <c r="AG32" i="17"/>
  <c r="AK32" i="11"/>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<sst xmlns="http://schemas.openxmlformats.org/spreadsheetml/2006/main" count="2682" uniqueCount="1193">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</sst>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v4LO5HHibGCewRHRLchLH7VviwhOXb+9ZSYX611epseE4YT7TtA1nOkNdzNnITJoZbT1ZUGZQDd5TV8+F/LZA==" saltValue="2/vS60acJKHhOAClDuvq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14</v>
      </c>
      <c r="F10" s="240">
        <f>IF(ISNUMBER(Datos!K10),Datos!K10," - ")</f>
        <v>6</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39.507633587786259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14</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652</v>
      </c>
      <c r="D17" s="239">
        <f>IF(ISNUMBER(IF(D_I="SI",Datos!I17,Datos!I17+Datos!AC17)),IF(D_I="SI",Datos!I17,Datos!I17+Datos!AC17)," - ")</f>
        <v>652</v>
      </c>
      <c r="E17" s="240">
        <f>IF(ISNUMBER(IF(D_I="SI",Datos!J17,Datos!J17+Datos!AD17)),IF(D_I="SI",Datos!J17,Datos!J17+Datos!AD17)," - ")</f>
        <v>320</v>
      </c>
      <c r="F17" s="240">
        <f>IF(ISNUMBER(IF(D_I="SI",Datos!K17,Datos!K17+Datos!AE17)),IF(D_I="SI",Datos!K17,Datos!K17+Datos!AE17)," - ")</f>
        <v>267</v>
      </c>
      <c r="G17" s="1390" t="str">
        <f>IF(Datos!E17&lt;&gt;"",Datos!E17,Datos!D17)</f>
        <v>04</v>
      </c>
      <c r="H17" s="241">
        <f>IF(ISNUMBER(IF(D_I="SI",Datos!L17,Datos!L17+Datos!AF17)),IF(D_I="SI",Datos!L17,Datos!L17+Datos!AF17)," - ")</f>
        <v>705</v>
      </c>
      <c r="I17" s="1400" t="str">
        <f>IF(ISNUMBER(Datos!AS17/Datos!BM17),Datos!AS17/Datos!BM17," - ")</f>
        <v xml:space="preserve"> - </v>
      </c>
      <c r="J17" s="1401">
        <f>IF(ISNUMBER(Datos!BY17/Datos!CN17),Datos!BY17/Datos!CN17," - ")</f>
        <v>0</v>
      </c>
      <c r="K17" s="244">
        <f t="shared" si="3"/>
        <v>8.1288343558282211E-2</v>
      </c>
      <c r="L17" s="1402">
        <f>IF(ISNUMBER(NºAsuntos!I17/NºAsuntos!G17),(NºAsuntos!I17/NºAsuntos!G17)*11," - ")</f>
        <v>29.04494382022472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105</v>
      </c>
      <c r="D18" s="239">
        <f>IF(ISNUMBER(IF(D_I="SI",Datos!I18,Datos!I18+Datos!AC18)),IF(D_I="SI",Datos!I18,Datos!I18+Datos!AC18)," - ")</f>
        <v>105</v>
      </c>
      <c r="E18" s="240">
        <f>IF(ISNUMBER(IF(D_I="SI",Datos!J18,Datos!J18+Datos!AD18)),IF(D_I="SI",Datos!J18,Datos!J18+Datos!AD18)," - ")</f>
        <v>43</v>
      </c>
      <c r="F18" s="240">
        <f>IF(ISNUMBER(IF(D_I="SI",Datos!K18,Datos!K18+Datos!AE18)),IF(D_I="SI",Datos!K18,Datos!K18+Datos!AE18)," - ")</f>
        <v>32</v>
      </c>
      <c r="G18" s="1390" t="str">
        <f>IF(Datos!E18&lt;&gt;"",Datos!E18,Datos!D18)</f>
        <v>37</v>
      </c>
      <c r="H18" s="241">
        <f>IF(ISNUMBER(IF(D_I="SI",Datos!L18,Datos!L18+Datos!AF18)),IF(D_I="SI",Datos!L18,Datos!L18+Datos!AF18)," - ")</f>
        <v>116</v>
      </c>
      <c r="I18" s="1400" t="str">
        <f>IF(ISNUMBER(Datos!AS18/Datos!BM18),Datos!AS18/Datos!BM18," - ")</f>
        <v xml:space="preserve"> - </v>
      </c>
      <c r="J18" s="1401" t="str">
        <f>IF(ISNUMBER((Datos!BY18+Datos!BZ18)/Datos!CN18),(Datos!BY18+Datos!BZ18)/Datos!CN18," - ")</f>
        <v xml:space="preserve"> - </v>
      </c>
      <c r="K18" s="244">
        <f t="shared" si="3"/>
        <v>0.10476190476190476</v>
      </c>
      <c r="L18" s="1402">
        <f>IF(ISNUMBER(NºAsuntos!I18/NºAsuntos!G18),(NºAsuntos!I18/NºAsuntos!G18)*11," - ")</f>
        <v>39.875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757</v>
      </c>
      <c r="D23" s="1407">
        <f>SUBTOTAL(9,D16:D22)</f>
        <v>757</v>
      </c>
      <c r="E23" s="1408">
        <f>SUBTOTAL(9,E16:E22)</f>
        <v>363</v>
      </c>
      <c r="F23" s="1408">
        <f>SUBTOTAL(9,F16:F22)</f>
        <v>299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785</v>
      </c>
      <c r="D31" s="1435">
        <f>SUBTOTAL(9,D9:D30)</f>
        <v>785</v>
      </c>
      <c r="E31" s="1436">
        <f>SUBTOTAL(9,E9:E30)</f>
        <v>377</v>
      </c>
      <c r="F31" s="1436">
        <f>SUBTOTAL(9,F9:F30)</f>
        <v>305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UdS99rS6r6Ia9xEgNu4+QwPTJ8Y6O9uXTPuS28blZo3WDfIoxnwMy8Ug9+RGYP6NcUThR9ykffb+YhDRvqUag==" saltValue="ZXlOpYTA8IVy4axqJypY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Nl4Dx2R7m7p4/DukTwNJd7oU44jl+nGvPpyQNJo9v5D1bLz/1FGQDi7UDZNip0y9XWNfXlK6tlMw7lHVJMmqw==" saltValue="E9dXCiHxNy21+fEj7ORI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14</v>
      </c>
      <c r="K10" s="194">
        <v>6</v>
      </c>
      <c r="L10" s="194">
        <v>36</v>
      </c>
      <c r="M10" s="194">
        <v>0</v>
      </c>
      <c r="N10" s="194">
        <v>0</v>
      </c>
      <c r="O10" s="194">
        <v>0</v>
      </c>
      <c r="P10" s="194">
        <v>0</v>
      </c>
      <c r="Q10" s="194">
        <v>0</v>
      </c>
      <c r="R10" s="194">
        <v>0</v>
      </c>
      <c r="S10" s="194">
        <v>17</v>
      </c>
      <c r="T10" s="194">
        <v>2</v>
      </c>
      <c r="U10" s="194">
        <v>0</v>
      </c>
      <c r="V10" s="194">
        <v>19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2</v>
      </c>
      <c r="BA10" s="139">
        <f t="shared" si="0"/>
        <v>0</v>
      </c>
      <c r="BB10" s="139">
        <f t="shared" si="0"/>
        <v>19</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796</v>
      </c>
      <c r="J12" s="196">
        <v>277</v>
      </c>
      <c r="K12" s="196">
        <v>223</v>
      </c>
      <c r="L12" s="196">
        <v>850</v>
      </c>
      <c r="M12" s="196">
        <v>80</v>
      </c>
      <c r="N12" s="196">
        <v>84</v>
      </c>
      <c r="O12" s="194">
        <v>96</v>
      </c>
      <c r="P12" s="196">
        <v>44</v>
      </c>
      <c r="Q12" s="196">
        <v>27</v>
      </c>
      <c r="R12" s="196">
        <v>720</v>
      </c>
      <c r="S12" s="196">
        <v>778</v>
      </c>
      <c r="T12" s="196">
        <v>235</v>
      </c>
      <c r="U12" s="196">
        <v>208</v>
      </c>
      <c r="V12" s="196">
        <v>805</v>
      </c>
      <c r="W12" s="196">
        <v>74</v>
      </c>
      <c r="X12" s="202">
        <v>72</v>
      </c>
      <c r="Y12" s="204">
        <v>60</v>
      </c>
      <c r="Z12" s="194">
        <v>70</v>
      </c>
      <c r="AA12" s="194">
        <v>39</v>
      </c>
      <c r="AB12" s="194">
        <v>91</v>
      </c>
      <c r="AC12" s="196">
        <v>0</v>
      </c>
      <c r="AD12" s="196">
        <v>0</v>
      </c>
      <c r="AE12" s="196">
        <v>0</v>
      </c>
      <c r="AF12" s="202">
        <v>0</v>
      </c>
      <c r="AG12" s="215">
        <v>37</v>
      </c>
      <c r="AH12" s="196">
        <v>65</v>
      </c>
      <c r="AI12" s="196">
        <v>47</v>
      </c>
      <c r="AJ12" s="216">
        <v>55</v>
      </c>
      <c r="AK12" s="195">
        <v>0</v>
      </c>
      <c r="AL12" s="196">
        <v>0</v>
      </c>
      <c r="AM12" s="196">
        <v>0</v>
      </c>
      <c r="AN12" s="202">
        <v>0</v>
      </c>
      <c r="AO12" s="283">
        <v>2</v>
      </c>
      <c r="AP12" s="168">
        <v>2</v>
      </c>
      <c r="AQ12" s="168">
        <v>2</v>
      </c>
      <c r="AR12" s="167">
        <v>2</v>
      </c>
      <c r="AS12" s="381" t="s">
        <v>1075</v>
      </c>
      <c r="AT12" s="216"/>
      <c r="AU12" s="215"/>
      <c r="AV12" s="216"/>
      <c r="AW12" s="215"/>
      <c r="AX12" s="216"/>
      <c r="AY12" s="136">
        <f t="shared" si="1"/>
        <v>815</v>
      </c>
      <c r="AZ12" s="137">
        <f t="shared" si="1"/>
        <v>300</v>
      </c>
      <c r="BA12" s="137">
        <f t="shared" si="1"/>
        <v>255</v>
      </c>
      <c r="BB12" s="137">
        <f t="shared" si="1"/>
        <v>860</v>
      </c>
      <c r="BC12" s="135">
        <f>IF(ISNUMBER(X12),X12," - ")</f>
        <v>72</v>
      </c>
      <c r="BD12" s="136">
        <f t="shared" si="2"/>
        <v>0.85</v>
      </c>
      <c r="BE12" s="137">
        <f t="shared" si="3"/>
        <v>3.3725490196078431</v>
      </c>
      <c r="BF12" s="137">
        <f t="shared" si="4"/>
        <v>0.28235294117647058</v>
      </c>
      <c r="BG12" s="209">
        <f t="shared" si="5"/>
        <v>4.3725490196078427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824</v>
      </c>
      <c r="J14" s="197">
        <f t="shared" si="7"/>
        <v>291</v>
      </c>
      <c r="K14" s="197">
        <f t="shared" si="7"/>
        <v>229</v>
      </c>
      <c r="L14" s="197">
        <f t="shared" si="7"/>
        <v>886</v>
      </c>
      <c r="M14" s="197">
        <f t="shared" si="7"/>
        <v>80</v>
      </c>
      <c r="N14" s="197">
        <f t="shared" si="7"/>
        <v>84</v>
      </c>
      <c r="O14" s="197">
        <f t="shared" si="7"/>
        <v>96</v>
      </c>
      <c r="P14" s="197">
        <f t="shared" si="7"/>
        <v>44</v>
      </c>
      <c r="Q14" s="197">
        <f t="shared" si="7"/>
        <v>27</v>
      </c>
      <c r="R14" s="197">
        <f t="shared" si="7"/>
        <v>720</v>
      </c>
      <c r="S14" s="197">
        <f t="shared" si="7"/>
        <v>795</v>
      </c>
      <c r="T14" s="197">
        <f t="shared" si="7"/>
        <v>237</v>
      </c>
      <c r="U14" s="197">
        <f t="shared" si="7"/>
        <v>208</v>
      </c>
      <c r="V14" s="197">
        <f t="shared" si="7"/>
        <v>824</v>
      </c>
      <c r="W14" s="197">
        <f t="shared" si="7"/>
        <v>74</v>
      </c>
      <c r="X14" s="197">
        <f t="shared" si="7"/>
        <v>72</v>
      </c>
      <c r="Y14" s="197">
        <f t="shared" si="7"/>
        <v>60</v>
      </c>
      <c r="Z14" s="197">
        <f t="shared" si="7"/>
        <v>70</v>
      </c>
      <c r="AA14" s="197">
        <f t="shared" si="7"/>
        <v>39</v>
      </c>
      <c r="AB14" s="197">
        <f t="shared" si="7"/>
        <v>91</v>
      </c>
      <c r="AC14" s="197">
        <f t="shared" si="7"/>
        <v>0</v>
      </c>
      <c r="AD14" s="197">
        <f t="shared" si="7"/>
        <v>0</v>
      </c>
      <c r="AE14" s="197">
        <f t="shared" si="7"/>
        <v>0</v>
      </c>
      <c r="AF14" s="197">
        <f>SUBTOTAL(9,AF9:AF13)</f>
        <v>0</v>
      </c>
      <c r="AG14" s="197">
        <f t="shared" ref="AG14:AT14" si="8">SUBTOTAL(9,AG8:AG13)</f>
        <v>37</v>
      </c>
      <c r="AH14" s="197">
        <f t="shared" si="8"/>
        <v>65</v>
      </c>
      <c r="AI14" s="197">
        <f t="shared" si="8"/>
        <v>47</v>
      </c>
      <c r="AJ14" s="197">
        <f t="shared" si="8"/>
        <v>55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832</v>
      </c>
      <c r="AZ14" s="197">
        <f>SUBTOTAL(9,AZ8:AZ13)</f>
        <v>302</v>
      </c>
      <c r="BA14" s="197">
        <f>SUBTOTAL(9,BA8:BA13)</f>
        <v>255</v>
      </c>
      <c r="BB14" s="197">
        <f>SUBTOTAL(9,BB8:BB13)</f>
        <v>879</v>
      </c>
      <c r="BC14" s="197">
        <f>SUBTOTAL(9,BC8:BC13)</f>
        <v>72</v>
      </c>
      <c r="BD14" s="219">
        <f>IF(ISNUMBER(BA14/AZ14),BA14/AZ14," - ")</f>
        <v>0.8443708609271523</v>
      </c>
      <c r="BE14" s="220">
        <f>IF(ISNUMBER(BB14/BA14),BB14/BA14, " - ")</f>
        <v>3.447058823529412</v>
      </c>
      <c r="BF14" s="220">
        <f>IF(ISNUMBER(BC14/BA14),BC14/BA14, " - ")</f>
        <v>0.28235294117647058</v>
      </c>
      <c r="BG14" s="221">
        <f>IF(ISNUMBER((AY14+AZ14)/BA14),(AY14+AZ14)/BA14," - ")</f>
        <v>4.447058823529412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652</v>
      </c>
      <c r="J17" s="196">
        <v>320</v>
      </c>
      <c r="K17" s="196">
        <v>267</v>
      </c>
      <c r="L17" s="196">
        <v>705</v>
      </c>
      <c r="M17" s="196">
        <v>21</v>
      </c>
      <c r="N17" s="196">
        <v>199</v>
      </c>
      <c r="O17" s="194">
        <v>1</v>
      </c>
      <c r="P17" s="196">
        <v>7</v>
      </c>
      <c r="Q17" s="196">
        <v>1</v>
      </c>
      <c r="R17" s="196">
        <v>51</v>
      </c>
      <c r="S17" s="196">
        <v>541</v>
      </c>
      <c r="T17" s="196">
        <v>215</v>
      </c>
      <c r="U17" s="196">
        <v>193</v>
      </c>
      <c r="V17" s="196">
        <v>564</v>
      </c>
      <c r="W17" s="196">
        <v>27</v>
      </c>
      <c r="X17" s="202">
        <v>138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541</v>
      </c>
      <c r="AZ17" s="137">
        <f t="shared" si="10"/>
        <v>215</v>
      </c>
      <c r="BA17" s="137">
        <f t="shared" si="10"/>
        <v>193</v>
      </c>
      <c r="BB17" s="137">
        <f t="shared" si="10"/>
        <v>564</v>
      </c>
      <c r="BC17" s="135">
        <f>IF(ISNUMBER(W17),W17," - ")</f>
        <v>27</v>
      </c>
      <c r="BD17" s="136">
        <f t="shared" ref="BD17:BD22" si="12">IF(ISNUMBER(BA17/AZ17),BA17/AZ17," - ")</f>
        <v>0.89767441860465114</v>
      </c>
      <c r="BE17" s="137">
        <f t="shared" ref="BE17:BE22" si="13">IF(ISNUMBER(BB17/BA17),BB17/BA17, " - ")</f>
        <v>2.9222797927461142</v>
      </c>
      <c r="BF17" s="137">
        <f t="shared" ref="BF17:BF22" si="14">IF(ISNUMBER(BC17/BA17),BC17/BA17, " - ")</f>
        <v>0.13989637305699482</v>
      </c>
      <c r="BG17" s="209">
        <f t="shared" si="11"/>
        <v>3.9170984455958551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105</v>
      </c>
      <c r="J18" s="196">
        <v>43</v>
      </c>
      <c r="K18" s="196">
        <v>32</v>
      </c>
      <c r="L18" s="196">
        <v>116</v>
      </c>
      <c r="M18" s="196">
        <v>0</v>
      </c>
      <c r="N18" s="196">
        <v>19</v>
      </c>
      <c r="O18" s="196">
        <v>0</v>
      </c>
      <c r="P18" s="196">
        <v>0</v>
      </c>
      <c r="Q18" s="196">
        <v>0</v>
      </c>
      <c r="R18" s="196">
        <v>3</v>
      </c>
      <c r="S18" s="196">
        <v>78</v>
      </c>
      <c r="T18" s="196">
        <v>38</v>
      </c>
      <c r="U18" s="196">
        <v>26</v>
      </c>
      <c r="V18" s="196">
        <v>90</v>
      </c>
      <c r="W18" s="196">
        <v>0</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78</v>
      </c>
      <c r="AZ18" s="139">
        <f t="shared" si="15"/>
        <v>38</v>
      </c>
      <c r="BA18" s="139">
        <f t="shared" si="15"/>
        <v>26</v>
      </c>
      <c r="BB18" s="139">
        <f t="shared" si="15"/>
        <v>90</v>
      </c>
      <c r="BC18" s="135">
        <f>IF(ISNUMBER(W18),W18," - ")</f>
        <v>0</v>
      </c>
      <c r="BD18" s="136">
        <f>IF(ISNUMBER(BA18/AZ18),BA18/AZ18," - ")</f>
        <v>0.68421052631578949</v>
      </c>
      <c r="BE18" s="137">
        <f>IF(ISNUMBER(BB18/BA18),BB18/BA18, " - ")</f>
        <v>3.4615384615384617</v>
      </c>
      <c r="BF18" s="137">
        <f>IF(ISNUMBER(BC18/BA18),BC18/BA18, " - ")</f>
        <v>0</v>
      </c>
      <c r="BG18" s="209">
        <f>IF(ISNUMBER((AY18+AZ18)/BA18),(AY18+AZ18)/BA18," - ")</f>
        <v>4.4615384615384617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757</v>
      </c>
      <c r="J23" s="197">
        <f t="shared" si="21"/>
        <v>363</v>
      </c>
      <c r="K23" s="197">
        <f t="shared" si="21"/>
        <v>299</v>
      </c>
      <c r="L23" s="197">
        <f t="shared" si="21"/>
        <v>821</v>
      </c>
      <c r="M23" s="197">
        <f t="shared" si="21"/>
        <v>21</v>
      </c>
      <c r="N23" s="197">
        <f t="shared" si="21"/>
        <v>218</v>
      </c>
      <c r="O23" s="197">
        <f t="shared" si="21"/>
        <v>1</v>
      </c>
      <c r="P23" s="197">
        <f t="shared" si="21"/>
        <v>7</v>
      </c>
      <c r="Q23" s="197">
        <f t="shared" si="21"/>
        <v>1</v>
      </c>
      <c r="R23" s="197">
        <f t="shared" si="21"/>
        <v>54</v>
      </c>
      <c r="S23" s="197">
        <f t="shared" si="21"/>
        <v>619</v>
      </c>
      <c r="T23" s="197">
        <f t="shared" si="21"/>
        <v>253</v>
      </c>
      <c r="U23" s="197">
        <f t="shared" si="21"/>
        <v>219</v>
      </c>
      <c r="V23" s="197">
        <f t="shared" si="21"/>
        <v>654</v>
      </c>
      <c r="W23" s="197">
        <f t="shared" si="21"/>
        <v>27</v>
      </c>
      <c r="X23" s="197">
        <f t="shared" si="21"/>
        <v>153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619</v>
      </c>
      <c r="AZ23" s="197">
        <f>SUBTOTAL(9,AZ15:AZ22)</f>
        <v>253</v>
      </c>
      <c r="BA23" s="197">
        <f>SUBTOTAL(9,BA15:BA22)</f>
        <v>219</v>
      </c>
      <c r="BB23" s="197">
        <f>SUBTOTAL(9,BB15:BB22)</f>
        <v>654</v>
      </c>
      <c r="BC23" s="197">
        <f>SUBTOTAL(9,BC15:BC22)</f>
        <v>27</v>
      </c>
      <c r="BD23" s="219">
        <f>IF(ISNUMBER(BA23/AZ23),BA23/AZ23," - ")</f>
        <v>0.86561264822134387</v>
      </c>
      <c r="BE23" s="220">
        <f>IF(ISNUMBER(BB23/BA23),BB23/BA23, " - ")</f>
        <v>2.9863013698630136</v>
      </c>
      <c r="BF23" s="220">
        <f>IF(ISNUMBER(BC23/BA23),BC23/BA23, " - ")</f>
        <v>0.12328767123287671</v>
      </c>
      <c r="BG23" s="221">
        <f>IF(ISNUMBER((AY23+AZ23)/BA23),(AY23+AZ23)/BA23," - ")</f>
        <v>3.9817351598173514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1581</v>
      </c>
      <c r="J31" s="144">
        <f t="shared" si="36"/>
        <v>654</v>
      </c>
      <c r="K31" s="144">
        <f t="shared" si="36"/>
        <v>528</v>
      </c>
      <c r="L31" s="144">
        <f t="shared" si="36"/>
        <v>1707</v>
      </c>
      <c r="M31" s="144">
        <f t="shared" si="36"/>
        <v>101</v>
      </c>
      <c r="N31" s="144">
        <f t="shared" si="36"/>
        <v>302</v>
      </c>
      <c r="O31" s="144">
        <f t="shared" si="36"/>
        <v>97</v>
      </c>
      <c r="P31" s="144">
        <f t="shared" si="36"/>
        <v>51</v>
      </c>
      <c r="Q31" s="144">
        <f t="shared" si="36"/>
        <v>28</v>
      </c>
      <c r="R31" s="144">
        <f t="shared" si="36"/>
        <v>774</v>
      </c>
      <c r="S31" s="144">
        <f t="shared" si="36"/>
        <v>1414</v>
      </c>
      <c r="T31" s="144">
        <f t="shared" si="36"/>
        <v>490</v>
      </c>
      <c r="U31" s="144">
        <f t="shared" si="36"/>
        <v>427</v>
      </c>
      <c r="V31" s="144">
        <f t="shared" si="36"/>
        <v>1478</v>
      </c>
      <c r="W31" s="144">
        <f t="shared" si="36"/>
        <v>101</v>
      </c>
      <c r="X31" s="144">
        <f t="shared" si="36"/>
        <v>225</v>
      </c>
      <c r="Y31" s="144">
        <f t="shared" si="36"/>
        <v>60</v>
      </c>
      <c r="Z31" s="144">
        <f t="shared" si="36"/>
        <v>70</v>
      </c>
      <c r="AA31" s="144">
        <f t="shared" si="36"/>
        <v>39</v>
      </c>
      <c r="AB31" s="144">
        <f t="shared" si="36"/>
        <v>91</v>
      </c>
      <c r="AC31" s="144">
        <f t="shared" si="36"/>
        <v>0</v>
      </c>
      <c r="AD31" s="144">
        <f t="shared" si="36"/>
        <v>0</v>
      </c>
      <c r="AE31" s="144">
        <f t="shared" si="36"/>
        <v>0</v>
      </c>
      <c r="AF31" s="144">
        <f t="shared" si="36"/>
        <v>0</v>
      </c>
      <c r="AG31" s="144">
        <f t="shared" si="36"/>
        <v>37</v>
      </c>
      <c r="AH31" s="144">
        <f t="shared" si="36"/>
        <v>65</v>
      </c>
      <c r="AI31" s="144">
        <f t="shared" si="36"/>
        <v>47</v>
      </c>
      <c r="AJ31" s="144">
        <f t="shared" si="36"/>
        <v>55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1451</v>
      </c>
      <c r="AZ31" s="144">
        <f>SUBTOTAL(9,AZ9:AZ30)</f>
        <v>555</v>
      </c>
      <c r="BA31" s="144">
        <f>SUBTOTAL(9,BA9:BA30)</f>
        <v>474</v>
      </c>
      <c r="BB31" s="144">
        <f>SUBTOTAL(9,BB9:BB30)</f>
        <v>1533</v>
      </c>
      <c r="BC31" s="145">
        <f>SUBTOTAL(9,BC9:BC30)</f>
        <v>99</v>
      </c>
      <c r="BD31" s="227">
        <f>IF(ISNUMBER(BA31/AZ31),BA31/AZ31," - ")</f>
        <v>0.8540540540540541</v>
      </c>
      <c r="BE31" s="224">
        <f>IF(ISNUMBER(BB31/BA31),BB31/BA31, " - ")</f>
        <v>3.2341772151898733</v>
      </c>
      <c r="BF31" s="224">
        <f>IF(ISNUMBER(BC31/BA31),BC31/BA31, " - ")</f>
        <v>0.20886075949367089</v>
      </c>
      <c r="BG31" s="145">
        <f>IF(ISNUMBER((AY31+AZ31)/BA31),(AY31+AZ31)/BA31," - ")</f>
        <v>4.2320675105485233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31i/KYMFqLq8UYad1AdnxmiMZ7BJZyEo07Q/ReKdxGGEdBirxtEF8095LvCvYrx2yH2/SalxOjgG7HUrRvnw==" saltValue="KpJAjoMBTFK3mHi6ZvaL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cLtFfgLN5Ym5Y9yRTc7+nK+9Mclo/vXCqBPBR/CveBCEdGvjlSEhK+35e4WigfPTN9geH39JZt4umkAG0oqtw==" saltValue="KtbcKwpzWzgqc7+qy0lW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MONFORTE DE LEMOS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36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0.42857142857142855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91</v>
      </c>
      <c r="AI12" s="549" t="str">
        <f>IF(ISNUMBER(Datos!CD12),Datos!CD12,"-")</f>
        <v>-</v>
      </c>
      <c r="AJ12" s="549" t="str">
        <f>IF(ISNUMBER(Datos!EN12),Datos!EN12," - ")</f>
        <v xml:space="preserve"> - </v>
      </c>
      <c r="AK12" s="549"/>
      <c r="AL12" s="550"/>
      <c r="AM12" s="766">
        <f>IF(ISNUMBER(Datos!R12),Datos!R12," - ")</f>
        <v>720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0.75504322766570608</v>
      </c>
      <c r="BH12" s="764">
        <f>IF(ISNUMBER(((IF(J_V="SI",Datos!L12/Datos!K12,(Datos!L12+Datos!AB12)/(Datos!K12+Datos!AA12)))*11)/factor_trimestre),((IF(J_V="SI",Datos!L12/Datos!K12,(Datos!L12+Datos!AB12)/(Datos!K12+Datos!AA12)))*11)/factor_trimestre," - ")</f>
        <v>7.1832061068702293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2.4182076813655761E-2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27</v>
      </c>
      <c r="AD14" s="1198">
        <f t="shared" si="2"/>
        <v>0</v>
      </c>
      <c r="AE14" s="1198">
        <f t="shared" si="2"/>
        <v>0</v>
      </c>
      <c r="AF14" s="1198">
        <f t="shared" si="2"/>
        <v>36</v>
      </c>
      <c r="AG14" s="1198">
        <f t="shared" si="2"/>
        <v>0</v>
      </c>
      <c r="AH14" s="1198">
        <f t="shared" si="2"/>
        <v>91</v>
      </c>
      <c r="AI14" s="1198">
        <f t="shared" si="2"/>
        <v>0</v>
      </c>
      <c r="AJ14" s="1198">
        <f t="shared" si="2"/>
        <v>0</v>
      </c>
      <c r="AK14" s="1198">
        <f t="shared" si="2"/>
        <v>0</v>
      </c>
      <c r="AL14" s="1198">
        <f t="shared" si="2"/>
        <v>0</v>
      </c>
      <c r="AM14" s="1198">
        <f t="shared" si="2"/>
        <v>720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84</v>
      </c>
      <c r="BE14" s="1198">
        <f t="shared" si="2"/>
        <v>0</v>
      </c>
      <c r="BF14" s="1198">
        <f t="shared" si="2"/>
        <v>0</v>
      </c>
      <c r="BG14" s="1198">
        <f>IF(ISNUMBER(Datos!K14/Datos!J14),Datos!K14/Datos!J14," - ")</f>
        <v>0.78694158075601373</v>
      </c>
      <c r="BH14" s="1202">
        <f>IF(ISNUMBER(((Datos!L14/Datos!K14)*11)/factor_trimestre),((Datos!L14/Datos!K14)*11)/factor_trimestre," - ")</f>
        <v>7.7379912663755457</v>
      </c>
      <c r="BI14" s="1198">
        <f>IF(ISNUMBER('Resol  Asuntos'!D14/NºAsuntos!G14),'Resol  Asuntos'!D14/NºAsuntos!G14," - ")</f>
        <v>0.29850746268656714</v>
      </c>
      <c r="BJ14" s="1198" t="str">
        <f>IF(ISNUMBER(Datos!CI14/Datos!CJ14),Datos!CI14/Datos!CJ14," - ")</f>
        <v xml:space="preserve"> - </v>
      </c>
      <c r="BK14" s="1198">
        <f>SUBTOTAL(9,BK8:BK13)</f>
        <v>0</v>
      </c>
      <c r="BL14" s="1198">
        <f>IF(ISNUMBER((I14-AB14+L14)/(F14)),(I14-AB14+L14)/(F14)," - ")</f>
        <v>-0.21428571428571427</v>
      </c>
      <c r="BM14" s="1203">
        <f>SUBTOTAL(9,BM9:BM13)</f>
        <v>2.4182076813655761E-2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652</v>
      </c>
      <c r="G17" s="743">
        <f>IF(ISNUMBER(IF(D_I="SI",Datos!I17,Datos!I17+Datos!AC17)),IF(D_I="SI",Datos!I17,Datos!I17+Datos!AC17)," - ")</f>
        <v>652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267</v>
      </c>
      <c r="AC17" s="240">
        <f>IF(ISNUMBER(Datos!Q17),Datos!Q17," - ")</f>
        <v>1</v>
      </c>
      <c r="AD17" s="374"/>
      <c r="AE17" s="562"/>
      <c r="AF17" s="741">
        <f>IF(ISNUMBER(IF(D_I="SI",Datos!L17,Datos!L17+Datos!AF17)),IF(D_I="SI",Datos!L17,Datos!L17+Datos!AF17)," - ")</f>
        <v>705</v>
      </c>
      <c r="AG17" s="374"/>
      <c r="AH17" s="374"/>
      <c r="AI17" s="374"/>
      <c r="AJ17" s="549"/>
      <c r="AK17" s="374"/>
      <c r="AL17" s="545"/>
      <c r="AM17" s="375">
        <f>IF(ISNUMBER(Datos!R17),Datos!R17," - ")</f>
        <v>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199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0.83437499999999998</v>
      </c>
      <c r="BH17" s="764">
        <f>IF(ISNUMBER(((IF(D_I="SI",Datos!L17/Datos!K17,(Datos!L17+Datos!AF17)/(Datos!K17+Datos!AE17)))*11)/factor_trimestre),((IF(D_I="SI",Datos!L17/Datos!K17,(Datos!L17+Datos!AF17)/(Datos!K17+Datos!AE17)))*11)/factor_trimestre," - ")</f>
        <v>5.2808988764044944</v>
      </c>
      <c r="BI17" s="266">
        <f>IF(ISNUMBER('Resol  Asuntos'!D17/NºAsuntos!G17),'Resol  Asuntos'!D17/NºAsuntos!G17," - ")</f>
        <v>7.8651685393258425E-2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116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0.7441860465116279</v>
      </c>
      <c r="BH18" s="764">
        <f>IF(ISNUMBER(((IF(D_I="SI",Datos!L18/Datos!K18,(Datos!L18+Datos!AF18)/(Datos!K18+Datos!AE18)))*11)/factor_trimestre),((IF(D_I="SI",Datos!L18/Datos!K18,(Datos!L18+Datos!AF18)/(Datos!K18+Datos!AE18)))*11)/factor_trimestre," - ")</f>
        <v>7.25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652</v>
      </c>
      <c r="G23" s="1197">
        <f>SUBTOTAL(9,G16:G22)</f>
        <v>757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299</v>
      </c>
      <c r="AC23" s="1198">
        <f t="shared" si="5"/>
        <v>1</v>
      </c>
      <c r="AD23" s="1198">
        <f t="shared" si="5"/>
        <v>0</v>
      </c>
      <c r="AE23" s="1198">
        <f t="shared" si="5"/>
        <v>0</v>
      </c>
      <c r="AF23" s="1198">
        <f t="shared" si="5"/>
        <v>821</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218</v>
      </c>
      <c r="BE23" s="1198">
        <f t="shared" si="5"/>
        <v>0</v>
      </c>
      <c r="BF23" s="1198">
        <f t="shared" si="5"/>
        <v>0</v>
      </c>
      <c r="BG23" s="1198">
        <f>IF(ISNUMBER(Datos!K23/Datos!J23),Datos!K23/Datos!J23," - ")</f>
        <v>0.82369146005509641</v>
      </c>
      <c r="BH23" s="1202">
        <f>IF(ISNUMBER(((Datos!L23/Datos!K23)*11)/factor_trimestre),((Datos!L23/Datos!K23)*11)/factor_trimestre," - ")</f>
        <v>5.4916387959866224</v>
      </c>
      <c r="BI23" s="1198">
        <f>SUBTOTAL(9,BI16:BI22)</f>
        <v>7.8651685393258425E-2</v>
      </c>
      <c r="BJ23" s="1198">
        <f>SUBTOTAL(9,BJ16:BJ22)</f>
        <v>0</v>
      </c>
      <c r="BK23" s="1198">
        <f>SUBTOTAL(9,BK16:BK22)</f>
        <v>0</v>
      </c>
      <c r="BL23" s="1198">
        <f>IF(ISNUMBER((I23-AB23+L23)/(F23)),(I23-AB23+L23)/(F23)," - ")</f>
        <v>-0.45858895705521474</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680</v>
      </c>
      <c r="G31" s="1117">
        <f t="shared" si="18"/>
        <v>785</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305</v>
      </c>
      <c r="AC31" s="1118">
        <f t="shared" si="19"/>
        <v>28</v>
      </c>
      <c r="AD31" s="1118">
        <f t="shared" si="19"/>
        <v>0</v>
      </c>
      <c r="AE31" s="1118">
        <f t="shared" si="19"/>
        <v>0</v>
      </c>
      <c r="AF31" s="1125">
        <f t="shared" si="19"/>
        <v>857</v>
      </c>
      <c r="AG31" s="1125">
        <f t="shared" si="19"/>
        <v>0</v>
      </c>
      <c r="AH31" s="1125">
        <f t="shared" si="19"/>
        <v>91</v>
      </c>
      <c r="AI31" s="1125">
        <f t="shared" si="19"/>
        <v>0</v>
      </c>
      <c r="AJ31" s="1118">
        <f t="shared" si="19"/>
        <v>0</v>
      </c>
      <c r="AK31" s="1125">
        <f t="shared" si="19"/>
        <v>0</v>
      </c>
      <c r="AL31" s="1125">
        <f t="shared" si="19"/>
        <v>0</v>
      </c>
      <c r="AM31" s="1125">
        <f t="shared" si="19"/>
        <v>774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101</v>
      </c>
      <c r="BD31" s="1117">
        <f t="shared" si="19"/>
        <v>302</v>
      </c>
      <c r="BE31" s="1117">
        <f t="shared" si="19"/>
        <v>0</v>
      </c>
      <c r="BF31" s="1127">
        <f t="shared" si="19"/>
        <v>0</v>
      </c>
      <c r="BG31" s="1223">
        <f>IF(ISNUMBER(Datos!K31/Datos!J31),Datos!K31/Datos!J31," - ")</f>
        <v>0.80733944954128445</v>
      </c>
      <c r="BH31" s="1223">
        <f>IF(ISNUMBER(((Datos!L31/Datos!K31)*11)/factor_trimestre),((Datos!L31/Datos!K31)*11)/factor_trimestre," - ")</f>
        <v>6.4659090909090908</v>
      </c>
      <c r="BI31" s="1103">
        <f>IF(ISNUMBER(Datos!J31/Datos!I31),Datos!J31/Datos!I31," - ")</f>
        <v>0.41366223908918404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-0.4485294117647059</v>
      </c>
      <c r="BM31" s="1188">
        <f>IF(ISNUMBER((Datos!P31-Datos!Q31+R31)/(Datos!R31-Datos!P31+Datos!Q31-R31)),(Datos!P31-Datos!Q31+R31)/(Datos!R31-Datos!P31+Datos!Q31-R31)," - ")</f>
        <v>3.0625832223701729E-2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329.69966130808604</v>
      </c>
      <c r="G33" s="674">
        <f>IF(ISNUMBER(STDEV(G8:G30)),STDEV(G8:G30),"-")</f>
        <v>331.31491277721176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134.55411373796613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35.013262793241239</v>
      </c>
      <c r="BD33" s="673"/>
      <c r="BE33" s="673">
        <f>IF(ISNUMBER(STDEV(BE8:BE30)),STDEV(BE8:BE30),"-")</f>
        <v>0</v>
      </c>
      <c r="BF33" s="678">
        <f>IF(ISNUMBER(STDEV(BF8:BF30)),STDEV(BF8:BF30),"-")</f>
        <v>0</v>
      </c>
      <c r="BG33" s="1052">
        <f>IF(ISNUMBER(STDEV(BG8:BG30)),STDEV(BG8:BG30),"-")</f>
        <v>0.15138926365107128</v>
      </c>
      <c r="BH33" s="1058">
        <f>IF(ISNUMBER(STDEV(BH8:BH30)),STDEV(BH8:BH30),"-")</f>
        <v>2.4259800127759772</v>
      </c>
      <c r="BI33" s="273">
        <f>IF(ISNUMBER(STDEV(BI8:BI30)),STDEV(BI8:BI30),"-")</f>
        <v>0.12850162324800365</v>
      </c>
      <c r="BJ33" s="244" t="str">
        <f>IF(ISNUMBER(BL33/BM33),BL33/BM33," - ")</f>
        <v xml:space="preserve"> - </v>
      </c>
      <c r="BK33" s="709"/>
      <c r="BL33" s="681">
        <f>IF(ISNUMBER(STDEV(BL8:BL30)),STDEV(BL8:BL30),"-")</f>
        <v>0.17274847962817713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XOQTp4FK+qpS6BwBYRz+FoPomC9wUxtBtFbfLrB10Ddmj6X3ShKdpRnNLmzdqvg7/KdeeXvcnNIPtrStSrsgw==" saltValue="8ADUcIrIEJXzaJ66f/4s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MONFORTE DE LEMOS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36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720</v>
      </c>
      <c r="AF12" s="693" t="str">
        <f>IF(ISNUMBER(Datos!BV12),Datos!BV12," - ")</f>
        <v xml:space="preserve"> - </v>
      </c>
      <c r="AG12" s="552" t="str">
        <f>IF(ISNUMBER(Datos!DV12),Datos!DV12," - ")</f>
        <v xml:space="preserve"> - </v>
      </c>
      <c r="AH12" s="553"/>
      <c r="AI12" s="554"/>
      <c r="AJ12" s="552">
        <f>IF(ISNUMBER(Datos!M12),Datos!M12," - ")</f>
        <v>80</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7.1832061068702293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2.4182076813655761E-2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27</v>
      </c>
      <c r="AA14" s="1199">
        <f t="shared" si="3"/>
        <v>36</v>
      </c>
      <c r="AB14" s="1199">
        <f t="shared" si="3"/>
        <v>0</v>
      </c>
      <c r="AC14" s="1199">
        <f t="shared" si="3"/>
        <v>0</v>
      </c>
      <c r="AD14" s="1199">
        <f t="shared" si="3"/>
        <v>0</v>
      </c>
      <c r="AE14" s="1199">
        <f t="shared" si="3"/>
        <v>720</v>
      </c>
      <c r="AF14" s="1211">
        <f t="shared" si="3"/>
        <v>0</v>
      </c>
      <c r="AG14" s="1211">
        <f t="shared" si="3"/>
        <v>0</v>
      </c>
      <c r="AH14" s="1211">
        <f t="shared" si="3"/>
        <v>0</v>
      </c>
      <c r="AI14" s="1211">
        <f t="shared" si="3"/>
        <v>0</v>
      </c>
      <c r="AJ14" s="1211">
        <f t="shared" si="3"/>
        <v>80</v>
      </c>
      <c r="AK14" s="1211">
        <f t="shared" si="3"/>
        <v>84</v>
      </c>
      <c r="AL14" s="1211">
        <f t="shared" si="3"/>
        <v>0</v>
      </c>
      <c r="AM14" s="1211">
        <f t="shared" si="3"/>
        <v>0</v>
      </c>
      <c r="AN14" s="1211">
        <f t="shared" si="3"/>
        <v>0</v>
      </c>
      <c r="AO14" s="1203">
        <f>IF(ISNUMBER(((NºAsuntos!I14/NºAsuntos!G14)*11)/factor_trimestre),((NºAsuntos!I14/NºAsuntos!G14)*11)/factor_trimestre," - ")</f>
        <v>7.2910447761194028</v>
      </c>
      <c r="AP14" s="1213" t="str">
        <f>IF(ISNUMBER(Datos!CI14/Datos!CJ14),Datos!CI14/Datos!CJ14," - ")</f>
        <v xml:space="preserve"> - </v>
      </c>
      <c r="AQ14" s="1236">
        <f t="shared" ref="AQ14:AV14" si="4">SUBTOTAL(9,AQ9:AQ13)</f>
        <v>0</v>
      </c>
      <c r="AR14" s="1236">
        <f t="shared" si="4"/>
        <v>2.4182076813655761E-2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652</v>
      </c>
      <c r="G17" s="552">
        <f>IF(ISNUMBER(IF(D_I="SI",Datos!I17,Datos!I17+Datos!AC17)),IF(D_I="SI",Datos!I17,Datos!I17+Datos!AC17)," - ")</f>
        <v>652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267</v>
      </c>
      <c r="Z17" s="805">
        <f>IF(ISNUMBER(Datos!Q17),Datos!Q17," - ")</f>
        <v>1</v>
      </c>
      <c r="AA17" s="551">
        <f>IF(ISNUMBER(IF(D_I="SI",Datos!L17,Datos!L17+Datos!AF17)),IF(D_I="SI",Datos!L17,Datos!L17+Datos!AF17)," - ")</f>
        <v>705</v>
      </c>
      <c r="AB17" s="549"/>
      <c r="AC17" s="549"/>
      <c r="AD17" s="563"/>
      <c r="AE17" s="563">
        <f>IF(ISNUMBER(Datos!R17),Datos!R17," - ")</f>
        <v>51</v>
      </c>
      <c r="AF17" s="693" t="str">
        <f>IF(ISNUMBER(Datos!BV17),Datos!BV17," - ")</f>
        <v xml:space="preserve"> - </v>
      </c>
      <c r="AG17" s="552"/>
      <c r="AH17" s="553"/>
      <c r="AI17" s="554"/>
      <c r="AJ17" s="552">
        <f>IF(ISNUMBER(Datos!M17),Datos!M17," - ")</f>
        <v>21</v>
      </c>
      <c r="AK17" s="693">
        <f>IF(ISNUMBER(Datos!N17),Datos!N17," - ")</f>
        <v>199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5.2808988764044944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116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0</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652</v>
      </c>
      <c r="G23" s="1197">
        <f>SUBTOTAL(9,G16:G22)</f>
        <v>757</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299</v>
      </c>
      <c r="Z23" s="1240">
        <f t="shared" si="6"/>
        <v>1</v>
      </c>
      <c r="AA23" s="1240">
        <f t="shared" si="6"/>
        <v>821</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21</v>
      </c>
      <c r="AK23" s="1240">
        <f t="shared" si="6"/>
        <v>218</v>
      </c>
      <c r="AL23" s="1240">
        <f t="shared" si="6"/>
        <v>0</v>
      </c>
      <c r="AM23" s="1240">
        <f t="shared" si="6"/>
        <v>0</v>
      </c>
      <c r="AN23" s="1240">
        <f t="shared" si="6"/>
        <v>0</v>
      </c>
      <c r="AO23" s="1242">
        <f>IF(ISNUMBER(((NºAsuntos!I23/NºAsuntos!G23)*11)/factor_trimestre),((NºAsuntos!I23/NºAsuntos!G23)*11)/factor_trimestre," - ")</f>
        <v>5.4916387959866224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680</v>
      </c>
      <c r="G31" s="1117">
        <f t="shared" si="12"/>
        <v>785</v>
      </c>
      <c r="H31" s="1118">
        <f t="shared" si="12"/>
        <v>0</v>
      </c>
      <c r="I31" s="1117">
        <f t="shared" si="12"/>
        <v>0</v>
      </c>
      <c r="J31" s="1119">
        <f t="shared" si="12"/>
        <v>0</v>
      </c>
      <c r="K31" s="1117">
        <f t="shared" si="12"/>
        <v>0</v>
      </c>
      <c r="L31" s="1120">
        <f t="shared" si="12"/>
        <v>0</v>
      </c>
      <c r="M31" s="1117">
        <f t="shared" si="12"/>
        <v>0</v>
      </c>
      <c r="N31" s="1118">
        <f t="shared" si="12"/>
        <v>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305</v>
      </c>
      <c r="Z31" s="1124">
        <f t="shared" si="13"/>
        <v>28</v>
      </c>
      <c r="AA31" s="1125">
        <f t="shared" si="13"/>
        <v>857</v>
      </c>
      <c r="AB31" s="1125">
        <f t="shared" si="13"/>
        <v>0</v>
      </c>
      <c r="AC31" s="1125">
        <f t="shared" si="13"/>
        <v>0</v>
      </c>
      <c r="AD31" s="1126">
        <f t="shared" si="13"/>
        <v>0</v>
      </c>
      <c r="AE31" s="1126">
        <f t="shared" si="13"/>
        <v>774</v>
      </c>
      <c r="AF31" s="1127">
        <f t="shared" si="13"/>
        <v>0</v>
      </c>
      <c r="AG31" s="1128">
        <f t="shared" si="13"/>
        <v>0</v>
      </c>
      <c r="AH31" s="1129">
        <f t="shared" si="13"/>
        <v>0</v>
      </c>
      <c r="AI31" s="1127">
        <f t="shared" si="13"/>
        <v>0</v>
      </c>
      <c r="AJ31" s="1117">
        <f t="shared" si="13"/>
        <v>101</v>
      </c>
      <c r="AK31" s="1117">
        <f t="shared" si="13"/>
        <v>302</v>
      </c>
      <c r="AL31" s="1117">
        <f t="shared" si="13"/>
        <v>0</v>
      </c>
      <c r="AM31" s="1130">
        <f t="shared" si="13"/>
        <v>0</v>
      </c>
      <c r="AN31" s="1120">
        <f>IF(ISNUMBER(Datos!K31/Datos!J31),Datos!K31/Datos!J31," - ")</f>
        <v>0.80733944954128445</v>
      </c>
      <c r="AO31" s="1120">
        <f>IF(ISNUMBER(FIND("06",Criterios!A8,1)),(IF(ISNUMBER(((Datos!R31/Datos!Q31)*11)/factor_trimestre),((Datos!R31/Datos!Q31)*11)/factor_trimestre," - ")),(IF(ISNUMBER(((Datos!L31/Datos!K31)*11)/factor_trimestre),((Datos!L31/Datos!K31)*11)/factor_trimestre," - ")))</f>
        <v>6.4659090909090908</v>
      </c>
      <c r="AP31" s="1131" t="str">
        <f>IF(ISNUMBER(Datos!CI31/Datos!CJ31),Datos!CI31/Datos!CJ31," - ")</f>
        <v xml:space="preserve"> - </v>
      </c>
      <c r="AQ31" s="1131">
        <f>IF(OR(ISNUMBER(FIND("01",Criterios!A8,1)),ISNUMBER(FIND("02",Criterios!A8,1)),ISNUMBER(FIND("03",Criterios!A8,1)),ISNUMBER(FIND("04",Criterios!A8,1))),(J31-Y31+K31)/(F31-K31),(I31-Y31+K31)/(F31-K31))</f>
        <v>-0.4485294117647059</v>
      </c>
      <c r="AR31" s="1131">
        <f>IF(ISNUMBER((Datos!P31-Datos!Q31+O31)/(Datos!R31-Datos!P31+Datos!Q31-O31)),(Datos!P31-Datos!Q31+O31)/(Datos!R31-Datos!P31+Datos!Q31-O31)," - ")</f>
        <v>3.0625832223701729E-2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329.69966130808604</v>
      </c>
      <c r="G33" s="674">
        <f>IF(ISNUMBER(STDEV(G8:G30)),STDEV(G8:G30),"-")</f>
        <v>331.31491277721176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35.013262793241239</v>
      </c>
      <c r="AK33" s="276"/>
      <c r="AL33" s="276">
        <f>IF(ISNUMBER(STDEV(AL8:AL30)),STDEV(AL8:AL30),"-")</f>
        <v>0</v>
      </c>
      <c r="AM33" s="278">
        <f>IF(ISNUMBER(STDEV(AM8:AM30)),STDEV(AM8:AM30),"-")</f>
        <v>0</v>
      </c>
      <c r="AN33" s="660">
        <f>IF(ISNUMBER(STDEV(AN8:AN30)),STDEV(AN8:AN30),"-")</f>
        <v>0</v>
      </c>
      <c r="AO33" s="661">
        <f>IF(ISNUMBER(STDEV(AO8:AO30)),STDEV(AO8:AO30),"-")</f>
        <v>2.4237261211823209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1FBC+aCw6SxedfsntL/fyF7jL3fnnjYAFkT8NSGBxMWINcCF3X4o7D/0r+ez5CmCpKrfQgl1hctx8ZCDEv5mg==" saltValue="azyELz55FaWrF2dkmNOB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eCkE9vhLGBkL38ycujeXXhzxsolAwq/louV6RKn57mJdPw2wmtZmkPrzwSTVNHPgnXg/kTtmohljihcsqGFYw==" saltValue="wBJ7jVsB8UFnW1qIwAEU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mpf/11f4DDP/ohx4hBria6COeTy26p8AG/nCU0YijZY/RTbqpXASvcFyDaXbjL3zw9Ws5EVQBJOUK+CaVnJMw==" saltValue="FLNXtVZc5Ymz8+w/mVsp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MONFORTE DE LEMOS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0.29850746268656714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0.21107665110046192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7PlQtjLlSUIk8t7+Rz1IkbIFu61N5HKHJk9uPe69gUVbea2+FoNzg1I9Mr1oBoRULhTiwsEh4rX3XfFGPCXMQ==" saltValue="ylhwlNS1ySz/AN3zxD9u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lwLDbjFgI9aUlzo4Yj+lAgZ6GUCWyB0LOBIESlE1FoIxw83Aix/eyzeHqn2Jth/ZnYTYqjQMgcvdS5AQkYPUg==" saltValue="uZZqUu8FJ82At8Y/zMAz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MONFORTE DE LEMOS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14</v>
      </c>
      <c r="F10" s="452">
        <f>IF(ISNUMBER(E10/B10),E10/B10," - ")</f>
        <v>14</v>
      </c>
      <c r="G10" s="451">
        <f>IF(ISNUMBER(Datos!K10),Datos!K10," - ")</f>
        <v>6</v>
      </c>
      <c r="H10" s="452">
        <f>IF(ISNUMBER(G10/B10),G10/B10," - ")</f>
        <v>6</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856</v>
      </c>
      <c r="D12" s="452">
        <f>IF(ISNUMBER(C12/Datos!BH12),C12/Datos!BH12," - ")</f>
        <v>428</v>
      </c>
      <c r="E12" s="451">
        <f>IF(ISNUMBER(IF(J_V="SI",Datos!J12,Datos!J12+Datos!Z12)),IF(J_V="SI",Datos!J12,Datos!J12+Datos!Z12)," - ")</f>
        <v>347</v>
      </c>
      <c r="F12" s="452">
        <f>IF(ISNUMBER(E12/B12),E12/B12," - ")</f>
        <v>173.5</v>
      </c>
      <c r="G12" s="451">
        <f>IF(ISNUMBER(IF(J_V="SI",Datos!K12,Datos!K12+Datos!AA12)),IF(J_V="SI",Datos!K12,Datos!K12+Datos!AA12)," - ")</f>
        <v>262</v>
      </c>
      <c r="H12" s="452">
        <f>IF(ISNUMBER(G12/B12),G12/B12," - ")</f>
        <v>131</v>
      </c>
      <c r="I12" s="451">
        <f>IF(ISNUMBER(IF(J_V="SI",Datos!L12,Datos!L12+Datos!AB12)),IF(J_V="SI",Datos!L12,Datos!L12+Datos!AB12)," - ")</f>
        <v>941</v>
      </c>
      <c r="J12" s="452">
        <f>IF(ISNUMBER(I12/B12),I12/B12," - ")</f>
        <v>470.5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884</v>
      </c>
      <c r="D14" s="1147" t="str">
        <f>IF(ISNUMBER(C14/Datos!BI14),C14/Datos!BI14," - ")</f>
        <v xml:space="preserve"> - </v>
      </c>
      <c r="E14" s="1146">
        <f>SUBTOTAL(9,E8:E13)</f>
        <v>361</v>
      </c>
      <c r="F14" s="1147">
        <f>IF(ISNUMBER(E14/B14),E14/B14," - ")</f>
        <v>180.5</v>
      </c>
      <c r="G14" s="1146">
        <f>SUBTOTAL(9,G8:G13)</f>
        <v>268</v>
      </c>
      <c r="H14" s="1147">
        <f>IF(ISNUMBER(G14/B14),G14/B14," - ")</f>
        <v>134</v>
      </c>
      <c r="I14" s="1146">
        <f>SUBTOTAL(9,I8:I13)</f>
        <v>977</v>
      </c>
      <c r="J14" s="1147">
        <f>IF(ISNUMBER(I14/B14),I14/B14," - ")</f>
        <v>488.5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652</v>
      </c>
      <c r="D17" s="452">
        <f>IF(ISNUMBER(C17/Datos!BH17),C17/Datos!BH17," - ")</f>
        <v>326</v>
      </c>
      <c r="E17" s="451">
        <f>IF(ISNUMBER(IF(D_I="SI",Datos!J17,Datos!J17+Datos!AD17)),IF(D_I="SI",Datos!J17,Datos!J17+Datos!AD17)," - ")</f>
        <v>320</v>
      </c>
      <c r="F17" s="452">
        <f>IF(ISNUMBER(E17/B17),E17/B17," - ")</f>
        <v>160</v>
      </c>
      <c r="G17" s="451">
        <f>IF(ISNUMBER(IF(D_I="SI",Datos!K17,Datos!K17+Datos!AE17)),IF(D_I="SI",Datos!K17,Datos!K17+Datos!AE17)," - ")</f>
        <v>267</v>
      </c>
      <c r="H17" s="452">
        <f>IF(ISNUMBER(G17/B17),G17/B17," - ")</f>
        <v>133.5</v>
      </c>
      <c r="I17" s="451">
        <f>IF(ISNUMBER(IF(D_I="SI",Datos!L17,Datos!L17+Datos!AF17)),IF(D_I="SI",Datos!L17,Datos!L17+Datos!AF17)," - ")</f>
        <v>705</v>
      </c>
      <c r="J17" s="452">
        <f>IF(ISNUMBER(I17/B17),I17/B17," - ")</f>
        <v>352.5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105</v>
      </c>
      <c r="D18" s="452">
        <f>IF(ISNUMBER(C18/Datos!BH18),C18/Datos!BH18," - ")</f>
        <v>105</v>
      </c>
      <c r="E18" s="451">
        <f>IF(ISNUMBER(IF(D_I="SI",Datos!J18,Datos!J18+Datos!AD18)),IF(D_I="SI",Datos!J18,Datos!J18+Datos!AD18)," - ")</f>
        <v>43</v>
      </c>
      <c r="F18" s="452">
        <f>IF(ISNUMBER(E18/B18),E18/B18," - ")</f>
        <v>43</v>
      </c>
      <c r="G18" s="451">
        <f>IF(ISNUMBER(IF(D_I="SI",Datos!K18,Datos!K18+Datos!AE18)),IF(D_I="SI",Datos!K18,Datos!K18+Datos!AE18)," - ")</f>
        <v>32</v>
      </c>
      <c r="H18" s="452">
        <f>IF(ISNUMBER(G18/B18),G18/B18," - ")</f>
        <v>32</v>
      </c>
      <c r="I18" s="451">
        <f>IF(ISNUMBER(IF(D_I="SI",Datos!L18,Datos!L18+Datos!AF18)),IF(D_I="SI",Datos!L18,Datos!L18+Datos!AF18)," - ")</f>
        <v>116</v>
      </c>
      <c r="J18" s="452">
        <f>IF(ISNUMBER(I18/B18),I18/B18," - ")</f>
        <v>116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757</v>
      </c>
      <c r="D23" s="1147" t="str">
        <f>IF(ISNUMBER(C23/Datos!BI23),C23/Datos!BI23," - ")</f>
        <v xml:space="preserve"> - </v>
      </c>
      <c r="E23" s="1146">
        <f>SUBTOTAL(9,E15:E22)</f>
        <v>363</v>
      </c>
      <c r="F23" s="1147">
        <f>IF(ISNUMBER(E23/B23),E23/B23," - ")</f>
        <v>181.5</v>
      </c>
      <c r="G23" s="1146">
        <f>SUBTOTAL(9,G15:G22)</f>
        <v>299</v>
      </c>
      <c r="H23" s="1147">
        <f>IF(ISNUMBER(G23/B23),G23/B23," - ")</f>
        <v>149.5</v>
      </c>
      <c r="I23" s="1146">
        <f>SUBTOTAL(9,I15:I22)</f>
        <v>821</v>
      </c>
      <c r="J23" s="1147">
        <f>IF(ISNUMBER(I23/B23),I23/B23," - ")</f>
        <v>410.5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1641</v>
      </c>
      <c r="D31" s="1085" t="str">
        <f>IF(ISNUMBER(C31/Datos!BI31),C31/Datos!BI31," - ")</f>
        <v xml:space="preserve"> - </v>
      </c>
      <c r="E31" s="1084">
        <f>SUBTOTAL(9,E9:E30)</f>
        <v>724</v>
      </c>
      <c r="F31" s="1085">
        <f>IF(ISNUMBER(E31/B31),E31/B31," - ")</f>
        <v>362</v>
      </c>
      <c r="G31" s="1084">
        <f>SUBTOTAL(9,G9:G30)</f>
        <v>567</v>
      </c>
      <c r="H31" s="1085">
        <f>IF(ISNUMBER(G31/B31),G31/B31," - ")</f>
        <v>283.5</v>
      </c>
      <c r="I31" s="1084">
        <f>SUBTOTAL(9,I9:I30)</f>
        <v>1798</v>
      </c>
      <c r="J31" s="1085">
        <f>IF(ISNUMBER(I31/B31),I31/B31," - ")</f>
        <v>899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xS1ADH2digvTFxTJf7am+h4inntLqTuelrKsDpkV8LLFk1kpt+cALb7jriq0ZO35uJk4GKBNI6dvafg3Iclvg==" saltValue="89SF4uA1KrOxrgbB0+rV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MONFORTE DE LEMOS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7.1832061068702293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2.4182076813655761E-2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27</v>
      </c>
      <c r="AE14" s="1257">
        <f t="shared" si="1"/>
        <v>0</v>
      </c>
      <c r="AF14" s="1257">
        <f t="shared" si="1"/>
        <v>36</v>
      </c>
      <c r="AG14" s="1257">
        <f t="shared" si="1"/>
        <v>0</v>
      </c>
      <c r="AH14" s="1257">
        <f t="shared" si="1"/>
        <v>720</v>
      </c>
      <c r="AI14" s="1257">
        <f t="shared" si="1"/>
        <v>0</v>
      </c>
      <c r="AJ14" s="1257">
        <f t="shared" si="1"/>
        <v>0</v>
      </c>
      <c r="AK14" s="1257">
        <f t="shared" si="1"/>
        <v>0</v>
      </c>
      <c r="AL14" s="1257">
        <f t="shared" si="1"/>
        <v>80</v>
      </c>
      <c r="AM14" s="1257">
        <f t="shared" si="1"/>
        <v>84</v>
      </c>
      <c r="AN14" s="1257">
        <f t="shared" si="1"/>
        <v>0</v>
      </c>
      <c r="AO14" s="1257">
        <f t="shared" si="1"/>
        <v>0</v>
      </c>
      <c r="AP14" s="1262">
        <f>IF(ISNUMBER(((Datos!L14/Datos!K14)*11)/factor_trimestre),((Datos!L14/Datos!K14)*11)/factor_trimestre," - ")</f>
        <v>7.7379912663755457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-0.21428571428571427</v>
      </c>
      <c r="AU14" s="1257" t="str">
        <f>IF(ISNUMBER((DatosP!#REF!-DatosP!#REF!+DatosP!#REF!)/(DatosP!#REF!+DatosP!#REF!-DatosP!#REF!-DatosP!#REF!)),(DatosP!#REF!-DatosP!#REF!+DatosP!#REF!)/(DatosP!#REF!+DatosP!#REF!-DatosP!#REF!-DatosP!#REF!)," - ")</f>
        <v xml:space="preserve"> - </v>
      </c>
      <c r="AV14" s="1263">
        <f>SUBTOTAL(9,AV9:AV13)</f>
        <v>2.4182076813655761E-2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5.4916387959866224</v>
      </c>
      <c r="AQ23" s="1262">
        <f>IF(ISNUMBER(((Datos!M23/Datos!L23)*11)/factor_trimestre),((Datos!M23/Datos!L23)*11)/factor_trimestre," - ")</f>
        <v>5.1157125456760051E-2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-7.8869047619047616E-2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27</v>
      </c>
      <c r="AE31" s="1284">
        <f t="shared" si="9"/>
        <v>0</v>
      </c>
      <c r="AF31" s="1285">
        <f t="shared" si="9"/>
        <v>36</v>
      </c>
      <c r="AG31" s="1285">
        <f t="shared" si="9"/>
        <v>0</v>
      </c>
      <c r="AH31" s="1285">
        <f t="shared" si="9"/>
        <v>720</v>
      </c>
      <c r="AI31" s="1285">
        <f t="shared" si="9"/>
        <v>0</v>
      </c>
      <c r="AJ31" s="1286">
        <f t="shared" si="9"/>
        <v>0</v>
      </c>
      <c r="AK31" s="1286">
        <f t="shared" si="9"/>
        <v>0</v>
      </c>
      <c r="AL31" s="1278">
        <f t="shared" si="9"/>
        <v>80</v>
      </c>
      <c r="AM31" s="1278">
        <f t="shared" si="9"/>
        <v>84</v>
      </c>
      <c r="AN31" s="1278">
        <f t="shared" si="9"/>
        <v>0</v>
      </c>
      <c r="AO31" s="1278">
        <f t="shared" si="9"/>
        <v>0</v>
      </c>
      <c r="AP31" s="1278">
        <f>IF(ISNUMBER(((Datos!L31/Datos!K31)*11)/factor_trimestre),((Datos!L31/Datos!K31)*11)/factor_trimestre," - ")</f>
        <v>6.4659090909090908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-0.21428571428571427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3.0625832223701729E-2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41.311822359545779</v>
      </c>
      <c r="AM33" s="1006"/>
      <c r="AN33" s="1006">
        <f>IF(ISNUMBER(STDEV(AN8:AN30)),STDEV(AN8:AN30),"-")</f>
        <v>0</v>
      </c>
      <c r="AO33" s="1012">
        <f>IF(ISNUMBER(STDEV(AO8:AO30)),STDEV(AO8:AO30),"-")</f>
        <v>0</v>
      </c>
      <c r="AP33" s="1065">
        <f>IF(ISNUMBER(STDEV(AP8:AP30)),STDEV(AP8:AP30),"-")</f>
        <v>2.7679756950096421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n8hsKhx8dzpjJvTZWm2e3dtlAX1kXPWAWTZoYNGURkhciPH9fhAgowa9qxm7qKPgx1xcmK08isMauEcqzNpIA==" saltValue="dXZNK/EMnk94ac3jNS4B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MONFORTE DE LEMOS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eU8XrawPeFWBK5rG152K6K31Kzzy8fEp6oc7DMnI/Q6BIw6USgbooIqSbVhffa9QVa30nZSTT83sGmrmuW7IA==" saltValue="rPVZKMuR7emqgp0OGssu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MONFORTE DE LEMOS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80</v>
      </c>
      <c r="E12" s="452">
        <f t="shared" si="0"/>
        <v>40</v>
      </c>
      <c r="F12" s="451">
        <f>IF(ISNUMBER(Datos!N12),Datos!N12," - ")</f>
        <v>84</v>
      </c>
      <c r="G12" s="452">
        <f t="shared" si="1"/>
        <v>42</v>
      </c>
      <c r="H12" s="451">
        <f>IF(ISNUMBER(Datos!O12),Datos!O12," - ")</f>
        <v>96</v>
      </c>
      <c r="I12" s="452">
        <f t="shared" si="2"/>
        <v>48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80</v>
      </c>
      <c r="E14" s="1147">
        <f t="shared" si="0"/>
        <v>26.666666666666668</v>
      </c>
      <c r="F14" s="1146">
        <f>SUBTOTAL(9,F9:F13)</f>
        <v>84</v>
      </c>
      <c r="G14" s="1147">
        <f t="shared" si="1"/>
        <v>28</v>
      </c>
      <c r="H14" s="1146">
        <f>SUBTOTAL(9,H9:H13)</f>
        <v>96</v>
      </c>
      <c r="I14" s="1147">
        <f>IF(ISNUMBER(H14/B14),H14/B14," - ")</f>
        <v>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v>
      </c>
      <c r="E17" s="452">
        <f t="shared" si="3"/>
        <v>10.5</v>
      </c>
      <c r="F17" s="451">
        <f>IF(ISNUMBER(Datos!N17),Datos!N17," - ")</f>
        <v>199</v>
      </c>
      <c r="G17" s="452">
        <f t="shared" si="4"/>
        <v>99.5</v>
      </c>
      <c r="H17" s="451">
        <f>IF(ISNUMBER(Datos!O17),Datos!O17," - ")</f>
        <v>1</v>
      </c>
      <c r="I17" s="452">
        <f t="shared" si="5"/>
        <v>0.5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21</v>
      </c>
      <c r="E23" s="1147">
        <f t="shared" si="3"/>
        <v>7</v>
      </c>
      <c r="F23" s="1146">
        <f>SUBTOTAL(9,F16:F22)</f>
        <v>218</v>
      </c>
      <c r="G23" s="1147">
        <f t="shared" si="4"/>
        <v>72.666666666666671</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101</v>
      </c>
      <c r="E31" s="1085">
        <f>IF(ISNUMBER(D31/B31),D31/B31," - ")</f>
        <v>50.5</v>
      </c>
      <c r="F31" s="1084">
        <f>SUBTOTAL(9,F8:F30)</f>
        <v>302</v>
      </c>
      <c r="G31" s="1085">
        <f>IF(ISNUMBER(F31/B31),F31/B31," - ")</f>
        <v>151</v>
      </c>
      <c r="H31" s="1084">
        <f>SUBTOTAL(9,H8:H30)</f>
        <v>97</v>
      </c>
      <c r="I31" s="1085">
        <f>IF(ISNUMBER(H31/B31),H31/B31," - ")</f>
        <v>48.5</v>
      </c>
    </row>
    <row r="34" spans="1:1">
      <c r="A34" s="439" t="str">
        <f>Criterios!A4</f>
        <v>Fecha Informe: 06 may. 2023</v>
      </c>
    </row>
    <row r="39" spans="1:1">
      <c r="A39" s="462"/>
    </row>
  </sheetData>
  <sheetProtection algorithmName="SHA-512" hashValue="0jPJp0ZT5ApaKSeo/pSvhpzrAIlopCZIFMFsF5S/rFKQJkB1E1oJpUAHgjOWSIKKokAvPatECJRodDZmgO3oGw==" saltValue="ljwug2EQWqzFa4qLsQkz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MONFORTE DE LEMOS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27</v>
      </c>
      <c r="D12" s="456">
        <f>IF(ISNUMBER(Datos!R12),Datos!R12," - ")</f>
        <v>720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27</v>
      </c>
      <c r="D14" s="1148">
        <f>SUBTOTAL(9,D9:D13)</f>
        <v>720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v>
      </c>
      <c r="D17" s="456">
        <f>IF(ISNUMBER(Datos!R17),Datos!R17," - ")</f>
        <v>51</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v>
      </c>
      <c r="C31" s="1089">
        <f>SUBTOTAL(9,C8:C30)</f>
        <v>28</v>
      </c>
      <c r="D31" s="1090">
        <f>SUBTOTAL(9,D8:D30)</f>
        <v>774</v>
      </c>
    </row>
    <row r="32" spans="1:4" ht="7.5" customHeight="1"/>
    <row r="33" spans="1:1" ht="6" customHeight="1"/>
    <row r="34" spans="1:1">
      <c r="A34" s="439" t="str">
        <f>Criterios!A4</f>
        <v>Fecha Informe: 06 may. 2023</v>
      </c>
    </row>
    <row r="39" spans="1:1">
      <c r="A39" s="462"/>
    </row>
  </sheetData>
  <sheetProtection algorithmName="SHA-512" hashValue="KIgq/mZzHRSN3L0Ftk4tIPR+B3FBZ/EDOmeV1XZdqhZtUAMRaGXcl7k5rHf0WUg0qYDQv/iLZD/JCiFUOc2i3w==" saltValue="1S8jk4UO3Aatw4XQQaeO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MONFORTE DE LEMOS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0.6470588235294118</v>
      </c>
      <c r="C10" s="515">
        <f>IF(ISNUMBER((Datos!J10-Datos!T10)/Datos!T10),(Datos!J10-Datos!T10)/Datos!T10," - ")</f>
        <v>6</v>
      </c>
      <c r="D10" s="515" t="str">
        <f>IF(ISNUMBER((Datos!K10-Datos!U10)/Datos!U10),(Datos!K10-Datos!U10)/Datos!U10," - ")</f>
        <v xml:space="preserve"> - </v>
      </c>
      <c r="E10" s="515">
        <f>IF(ISNUMBER((Datos!L10-Datos!V10)/Datos!V10),(Datos!L10-Datos!V10)/Datos!V10," - ")</f>
        <v>0.89473684210526316</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5.030674846625767E-2</v>
      </c>
      <c r="C12" s="515">
        <f>IF(ISNUMBER(
   IF(J_V="SI",(Datos!J12-Datos!T12)/Datos!T12,(Datos!J12+Datos!Z12-(Datos!T12+Datos!AH12))/(Datos!T12+Datos!AH12))
     ),IF(J_V="SI",(Datos!J12-Datos!T12)/Datos!T12,(Datos!J12+Datos!Z12-(Datos!T12+Datos!AH12))/(Datos!T12+Datos!AH12))," - ")</f>
        <v>0.15666666666666668</v>
      </c>
      <c r="D12" s="515">
        <f>IF(ISNUMBER(
   IF(J_V="SI",(Datos!K12-Datos!U12)/Datos!U12,(Datos!K12+Datos!AA12-(Datos!U12+Datos!AI12))/(Datos!U12+Datos!AI12))
     ),IF(J_V="SI",(Datos!K12-Datos!U12)/Datos!U12,(Datos!K12+Datos!AA12-(Datos!U12+Datos!AI12))/(Datos!U12+Datos!AI12))," - ")</f>
        <v>2.7450980392156862E-2</v>
      </c>
      <c r="E12" s="515">
        <f>IF(ISNUMBER(
   IF(J_V="SI",(Datos!L12-Datos!V12)/Datos!V12,(Datos!L12+Datos!AB12-(Datos!V12+Datos!AJ12))/(Datos!V12+Datos!AJ12))
     ),IF(J_V="SI",(Datos!L12-Datos!V12)/Datos!V12,(Datos!L12+Datos!AB12-(Datos!V12+Datos!AJ12))/(Datos!V12+Datos!AJ12))," - ")</f>
        <v>9.4186046511627902E-2</v>
      </c>
      <c r="F12" s="515">
        <f>IF(ISNUMBER((Datos!M12-Datos!W12)/Datos!W12),(Datos!M12-Datos!W12)/Datos!W12," - ")</f>
        <v>8.1081081081081086E-2</v>
      </c>
      <c r="G12" s="516">
        <f>IF(ISNUMBER((Datos!N12-Datos!X12)/Datos!X12),(Datos!N12-Datos!X12)/Datos!X12," - ")</f>
        <v>0.16666666666666666</v>
      </c>
      <c r="H12" s="514">
        <f>IF(ISNUMBER(((NºAsuntos!G12/NºAsuntos!E12)-Datos!BD12)/Datos!BD12),((NºAsuntos!G12/NºAsuntos!E12)-Datos!BD12)/Datos!BD12," - ")</f>
        <v>-0.11171384980505164</v>
      </c>
      <c r="I12" s="515">
        <f>IF(ISNUMBER(((NºAsuntos!I12/NºAsuntos!G12)-Datos!BE12)/Datos!BE12),((NºAsuntos!I12/NºAsuntos!G12)-Datos!BE12)/Datos!BE12," - ")</f>
        <v>6.495206816971423E-2</v>
      </c>
      <c r="J12" s="521">
        <f>IF(ISNUMBER((('Resol  Asuntos'!D12/NºAsuntos!G12)-Datos!BF12)/Datos!BF12),(('Resol  Asuntos'!D12/NºAsuntos!G12)-Datos!BF12)/Datos!BF12," - ")</f>
        <v>8.1424936386768496E-2</v>
      </c>
      <c r="K12" s="522">
        <f>IF(ISNUMBER((((NºAsuntos!C12+NºAsuntos!E12)/NºAsuntos!G12)-Datos!BG12)/Datos!BG12),(((NºAsuntos!C12+NºAsuntos!E12)/NºAsuntos!G12)-Datos!BG12)/Datos!BG12," - ")</f>
        <v>5.0097559305788554E-2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6.25E-2</v>
      </c>
      <c r="C14" s="1152">
        <f>IF(ISNUMBER(
   IF(J_V="SI",(Datos!J14-Datos!T14)/Datos!T14,(Datos!J14+Datos!Z14-(Datos!T14+Datos!AH14))/(Datos!T14+Datos!AH14))
     ),IF(J_V="SI",(Datos!J14-Datos!T14)/Datos!T14,(Datos!J14+Datos!Z14-(Datos!T14+Datos!AH14))/(Datos!T14+Datos!AH14))," - ")</f>
        <v>0.19536423841059603</v>
      </c>
      <c r="D14" s="1152">
        <f>IF(ISNUMBER(
   IF(J_V="SI",(Datos!K14-Datos!U14)/Datos!U14,(Datos!K14+Datos!AA14-(Datos!U14+Datos!AI14))/(Datos!U14+Datos!AI14))
     ),IF(J_V="SI",(Datos!K14-Datos!U14)/Datos!U14,(Datos!K14+Datos!AA14-(Datos!U14+Datos!AI14))/(Datos!U14+Datos!AI14))," - ")</f>
        <v>5.0980392156862744E-2</v>
      </c>
      <c r="E14" s="1152">
        <f>IF(ISNUMBER(
   IF(J_V="SI",(Datos!L14-Datos!V14)/Datos!V14,(Datos!L14+Datos!AB14-(Datos!V14+Datos!AJ14))/(Datos!V14+Datos!AJ14))
     ),IF(J_V="SI",(Datos!L14-Datos!V14)/Datos!V14,(Datos!L14+Datos!AB14-(Datos!V14+Datos!AJ14))/(Datos!V14+Datos!AJ14))," - ")</f>
        <v>0.11149032992036405</v>
      </c>
      <c r="F14" s="1153">
        <f>IF(ISNUMBER((Datos!M14-Datos!W14)/Datos!W14),(Datos!M14-Datos!W14)/Datos!W14," - ")</f>
        <v>8.1081081081081086E-2</v>
      </c>
      <c r="G14" s="1154">
        <f>IF(ISNUMBER((Datos!N14-Datos!X14)/Datos!X14),(Datos!N14-Datos!X14)/Datos!X14," - ")</f>
        <v>0.16666666666666666</v>
      </c>
      <c r="H14" s="1154">
        <f>IF(ISNUMBER(((NºAsuntos!G14/NºAsuntos!E14)-Datos!BD14)/Datos!BD14),((NºAsuntos!G14/NºAsuntos!E14)-Datos!BD14)/Datos!BD14," - ")</f>
        <v>-0.12078648633968819</v>
      </c>
      <c r="I14" s="1154">
        <f>IF(ISNUMBER(((NºAsuntos!I14/NºAsuntos!G14)-Datos!BE14)/Datos!BE14),((NºAsuntos!I14/NºAsuntos!G14)-Datos!BE14)/Datos!BE14," - ")</f>
        <v>5.7574754215271681E-2</v>
      </c>
      <c r="J14" s="1154">
        <f>IF(ISNUMBER((('Resol  Asuntos'!D14/NºAsuntos!G14)-Datos!BF14)/Datos!BF14),(('Resol  Asuntos'!D14/NºAsuntos!G14)-Datos!BF14)/Datos!BF14," - ")</f>
        <v>5.7213930348258626E-2</v>
      </c>
      <c r="K14" s="1154">
        <f>IF(ISNUMBER((((NºAsuntos!C14+NºAsuntos!E14)/NºAsuntos!G14)-Datos!BG14)/Datos!BG14),(((NºAsuntos!C14+NºAsuntos!E14)/NºAsuntos!G14)-Datos!BG14)/Datos!BG14," - ")</f>
        <v>4.4628050225065087E-2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0.20517560073937152</v>
      </c>
      <c r="C17" s="515">
        <f>IF(ISNUMBER(
   IF(D_I="SI",(Datos!J17-Datos!T17)/Datos!T17,(Datos!J17+Datos!AD17-(Datos!T17+Datos!AL17))/(Datos!T17+Datos!AL17))
     ),IF(D_I="SI",(Datos!J17-Datos!T17)/Datos!T17,(Datos!J17+Datos!AD17-(Datos!T17+Datos!AL17))/(Datos!T17+Datos!AL17))," - ")</f>
        <v>0.48837209302325579</v>
      </c>
      <c r="D17" s="515">
        <f>IF(ISNUMBER(
   IF(D_I="SI",(Datos!K17-Datos!U17)/Datos!U17,(Datos!K17+Datos!AE17-(Datos!U17+Datos!AM17))/(Datos!U17+Datos!AM17))
     ),IF(D_I="SI",(Datos!K17-Datos!U17)/Datos!U17,(Datos!K17+Datos!AE17-(Datos!U17+Datos!AM17))/(Datos!U17+Datos!AM17))," - ")</f>
        <v>0.38341968911917096</v>
      </c>
      <c r="E17" s="515">
        <f>IF(ISNUMBER(
   IF(D_I="SI",(Datos!L17-Datos!V17)/Datos!V17,(Datos!L17+Datos!AF17-(Datos!V17+Datos!AN17))/(Datos!V17+Datos!AN17))
     ),IF(D_I="SI",(Datos!L17-Datos!V17)/Datos!V17,(Datos!L17+Datos!AF17-(Datos!V17+Datos!AN17))/(Datos!V17+Datos!AN17))," - ")</f>
        <v>0.25</v>
      </c>
      <c r="F17" s="515">
        <f>IF(ISNUMBER((Datos!M17-Datos!W17)/Datos!W17),(Datos!M17-Datos!W17)/Datos!W17," - ")</f>
        <v>-0.22222222222222221</v>
      </c>
      <c r="G17" s="516">
        <f>IF(ISNUMBER((Datos!N17-Datos!X17)/Datos!X17),(Datos!N17-Datos!X17)/Datos!X17," - ")</f>
        <v>0.4420289855072464</v>
      </c>
      <c r="H17" s="514">
        <f>IF(ISNUMBER(((NºAsuntos!G17/NºAsuntos!E17)-Datos!BD17)/Datos!BD17),((NºAsuntos!G17/NºAsuntos!E17)-Datos!BD17)/Datos!BD17," - ")</f>
        <v>-7.0514896373056996E-2</v>
      </c>
      <c r="I17" s="515">
        <f>IF(ISNUMBER(((NºAsuntos!I17/NºAsuntos!G17)-Datos!BE17)/Datos!BE17),((NºAsuntos!I17/NºAsuntos!G17)-Datos!BE17)/Datos!BE17," - ")</f>
        <v>-9.6441947565543126E-2</v>
      </c>
      <c r="J17" s="521">
        <f>IF(ISNUMBER((('Resol  Asuntos'!D17/NºAsuntos!G17)-Datos!BF17)/Datos!BF17),(('Resol  Asuntos'!D17/NºAsuntos!G17)-Datos!BF17)/Datos!BF17," - ")</f>
        <v>-0.437786100707449</v>
      </c>
      <c r="K17" s="522">
        <f>IF(ISNUMBER((((NºAsuntos!C17+NºAsuntos!E17)/NºAsuntos!G17)-Datos!BG17)/Datos!BG17),(((NºAsuntos!C17+NºAsuntos!E17)/NºAsuntos!G17)-Datos!BG17)/Datos!BG17," - ")</f>
        <v>-7.0626003210272903E-2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0.34615384615384615</v>
      </c>
      <c r="C18" s="515">
        <f>IF(ISNUMBER(
   IF(D_I="SI",(Datos!J18-Datos!T18)/Datos!T18,(Datos!J18+Datos!AD18-(Datos!T18+Datos!AL18))/(Datos!T18+Datos!AL18))
     ),IF(D_I="SI",(Datos!J18-Datos!T18)/Datos!T18,(Datos!J18+Datos!AD18-(Datos!T18+Datos!AL18))/(Datos!T18+Datos!AL18))," - ")</f>
        <v>0.13157894736842105</v>
      </c>
      <c r="D18" s="515">
        <f>IF(ISNUMBER(
   IF(D_I="SI",(Datos!K18-Datos!U18)/Datos!U18,(Datos!K18+Datos!AE18-(Datos!U18+Datos!AM18))/(Datos!U18+Datos!AM18))
     ),IF(D_I="SI",(Datos!K18-Datos!U18)/Datos!U18,(Datos!K18+Datos!AE18-(Datos!U18+Datos!AM18))/(Datos!U18+Datos!AM18))," - ")</f>
        <v>0.23076923076923078</v>
      </c>
      <c r="E18" s="515">
        <f>IF(ISNUMBER(
   IF(D_I="SI",(Datos!L18-Datos!V18)/Datos!V18,(Datos!L18+Datos!AF18-(Datos!V18+Datos!AN18))/(Datos!V18+Datos!AN18))
     ),IF(D_I="SI",(Datos!L18-Datos!V18)/Datos!V18,(Datos!L18+Datos!AF18-(Datos!V18+Datos!AN18))/(Datos!V18+Datos!AN18))," - ")</f>
        <v>0.28888888888888886</v>
      </c>
      <c r="F18" s="515" t="str">
        <f>IF(ISNUMBER((Datos!M18-Datos!W18)/Datos!W18),(Datos!M18-Datos!W18)/Datos!W18," - ")</f>
        <v xml:space="preserve"> - </v>
      </c>
      <c r="G18" s="516">
        <f>IF(ISNUMBER((Datos!N18-Datos!X18)/Datos!X18),(Datos!N18-Datos!X18)/Datos!X18," - ")</f>
        <v>0.26666666666666666</v>
      </c>
      <c r="H18" s="514">
        <f>IF(ISNUMBER(((NºAsuntos!G18/NºAsuntos!E18)-Datos!BD18)/Datos!BD18),((NºAsuntos!G18/NºAsuntos!E18)-Datos!BD18)/Datos!BD18," - ")</f>
        <v>8.7656529516994597E-2</v>
      </c>
      <c r="I18" s="515">
        <f>IF(ISNUMBER(((NºAsuntos!I18/NºAsuntos!G18)-Datos!BE18)/Datos!BE18),((NºAsuntos!I18/NºAsuntos!G18)-Datos!BE18)/Datos!BE18," - ")</f>
        <v>4.7222222222222179E-2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3.6637931034482728E-2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0.22294022617124395</v>
      </c>
      <c r="C23" s="1152">
        <f>IF(ISNUMBER(
   IF(Criterios!B14="SI",(Datos!J23-Datos!T23)/Datos!T23,(Datos!J23+Datos!AD23-(Datos!T23+Datos!AL23))/(Datos!T23+Datos!AL23))
     ),IF(Criterios!B14="SI",(Datos!J23-Datos!T23)/Datos!T23,(Datos!J23+Datos!AD23-(Datos!T23+Datos!AL23))/(Datos!T23+Datos!AL23))," - ")</f>
        <v>0.43478260869565216</v>
      </c>
      <c r="D23" s="1152">
        <f>IF(ISNUMBER(
   IF(Criterios!B14="SI",(Datos!K23-Datos!U23)/Datos!U23,(Datos!K23+Datos!AE23-(Datos!U23+Datos!AM23))/(Datos!U23+Datos!AM23))
     ),IF(Criterios!B14="SI",(Datos!K23-Datos!U23)/Datos!U23,(Datos!K23+Datos!AE23-(Datos!U23+Datos!AM23))/(Datos!U23+Datos!AM23))," - ")</f>
        <v>0.36529680365296802</v>
      </c>
      <c r="E23" s="1152">
        <f>IF(ISNUMBER(
   IF(Criterios!B14="SI",(Datos!L23-Datos!V23)/Datos!V23,(Datos!L23+Datos!AF23-(Datos!V23+Datos!AN23))/(Datos!V23+Datos!AN23))
     ),IF(Criterios!B14="SI",(Datos!L23-Datos!V23)/Datos!V23,(Datos!L23+Datos!AF23-(Datos!V23+Datos!AN23))/(Datos!V23+Datos!AN23))," - ")</f>
        <v>0.25535168195718655</v>
      </c>
      <c r="F23" s="1153">
        <f>IF(ISNUMBER((Datos!M23-Datos!W23)/Datos!W23),(Datos!M23-Datos!W23)/Datos!W23," - ")</f>
        <v>-0.22222222222222221</v>
      </c>
      <c r="G23" s="1154">
        <f>IF(ISNUMBER((Datos!N23-Datos!X23)/Datos!X23),(Datos!N23-Datos!X23)/Datos!X23," - ")</f>
        <v>0.42483660130718953</v>
      </c>
      <c r="H23" s="1154">
        <f>IF(ISNUMBER(((NºAsuntos!G23/NºAsuntos!E23)-Datos!BD23)/Datos!BD23),((NºAsuntos!G23/NºAsuntos!E23)-Datos!BD23)/Datos!BD23," - ")</f>
        <v>-4.8429500484295007E-2</v>
      </c>
      <c r="I23" s="1154">
        <f>IF(ISNUMBER(((NºAsuntos!I23/NºAsuntos!G23)-Datos!BE23)/Datos!BE23),((NºAsuntos!I23/NºAsuntos!G23)-Datos!BE23)/Datos!BE23," - ")</f>
        <v>-8.0528366727010456E-2</v>
      </c>
      <c r="J23" s="1154">
        <f>IF(ISNUMBER((('Resol  Asuntos'!D23/NºAsuntos!G23)-Datos!BF23)/Datos!BF23),(('Resol  Asuntos'!D23/NºAsuntos!G23)-Datos!BF23)/Datos!BF23," - ")</f>
        <v>-0.43032329988851731</v>
      </c>
      <c r="K23" s="1154">
        <f>IF(ISNUMBER((((NºAsuntos!C23+NºAsuntos!E23)/NºAsuntos!G23)-Datos!BG23)/Datos!BG23),(((NºAsuntos!C23+NºAsuntos!E23)/NºAsuntos!G23)-Datos!BG23)/Datos!BG23," - ")</f>
        <v>-5.9249486054432109E-2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0.13094417643004824</v>
      </c>
      <c r="C31" s="1092">
        <f>IF(ISNUMBER(
   IF(J_V="SI",(Datos!J31-Datos!T31)/Datos!T31,(Datos!J31+Datos!Z31-(Datos!T31+Datos!AH31))/(Datos!T31+Datos!AH31))
     ),IF(J_V="SI",(Datos!J31-Datos!T31)/Datos!T31,(Datos!J31+Datos!Z31-(Datos!T31+Datos!AH31))/(Datos!T31+Datos!AH31))," - ")</f>
        <v>0.3045045045045045</v>
      </c>
      <c r="D31" s="1092">
        <f>IF(ISNUMBER(
   IF(J_V="SI",(Datos!K31-Datos!U31)/Datos!U31,(Datos!K31+Datos!AA31-(Datos!U31+Datos!AI31))/(Datos!U31+Datos!AI31))
     ),IF(J_V="SI",(Datos!K31-Datos!U31)/Datos!U31,(Datos!K31+Datos!AA31-(Datos!U31+Datos!AI31))/(Datos!U31+Datos!AI31))," - ")</f>
        <v>0.19620253164556961</v>
      </c>
      <c r="E31" s="1092">
        <f>IF(ISNUMBER(
   IF(J_V="SI",(Datos!L31-Datos!V31)/Datos!V31,(Datos!L31+Datos!AB31-(Datos!V31+Datos!AJ31))/(Datos!V31+Datos!AJ31))
     ),IF(J_V="SI",(Datos!L31-Datos!V31)/Datos!V31,(Datos!L31+Datos!AB31-(Datos!V31+Datos!AJ31))/(Datos!V31+Datos!AJ31))," - ")</f>
        <v>0.17286366601435094</v>
      </c>
      <c r="F31" s="1093">
        <f>IF(ISNUMBER((Datos!M31-Datos!W31)/Datos!W31),(Datos!M31-Datos!W31)/Datos!W31," - ")</f>
        <v>0</v>
      </c>
      <c r="G31" s="1094">
        <f>IF(ISNUMBER((Datos!N31-Datos!X31)/Datos!X31),(Datos!N31-Datos!X31)/Datos!X31," - ")</f>
        <v>0.34222222222222221</v>
      </c>
      <c r="H31" s="1095">
        <f>IF(ISNUMBER((Tasas!B31-Datos!BD31)/Datos!BD31),(Tasas!B31-Datos!BD31)/Datos!BD31," - ")</f>
        <v>-8.3021539967829933E-2</v>
      </c>
      <c r="I31" s="1096">
        <f>IF(ISNUMBER((Tasas!C31-Datos!BE31)/Datos!BE31),(Tasas!C31-Datos!BE31)/Datos!BE31," - ")</f>
        <v>-1.9510797723452641E-2</v>
      </c>
      <c r="J31" s="1097">
        <f>IF(ISNUMBER((Tasas!D31-Datos!BF31)/Datos!BF31),(Tasas!D31-Datos!BF31)/Datos!BF31," - ")</f>
        <v>-0.14713270268825832</v>
      </c>
      <c r="K31" s="1097">
        <f>IF(ISNUMBER((Tasas!E31-Datos!BG31)/Datos!BG31),(Tasas!E31-Datos!BG31)/Datos!BG31," - ")</f>
        <v>-1.4411791081781034E-2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j80jjP91jAMIKiid/nzXGZXD6pwy2Q74L4C4RnVXUUYJ7p4lDp/50aZ6wxct+pE+1pNjlouBDu8YFzGwbdxcg==" saltValue="bVwN1AzHPSMvr6v7VdJk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MONFORTE DE LEMOS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0.42857142857142855</v>
      </c>
      <c r="C10" s="498">
        <f>IF(ISNUMBER(NºAsuntos!I10/NºAsuntos!G10),NºAsuntos!I10/NºAsuntos!G10," - ")</f>
        <v>6</v>
      </c>
      <c r="D10" s="499">
        <f>IF(ISNUMBER('Resol  Asuntos'!D10/NºAsuntos!G10),'Resol  Asuntos'!D10/NºAsuntos!G10," - ")</f>
        <v>0</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0.75504322766570608</v>
      </c>
      <c r="C12" s="498">
        <f>IF(ISNUMBER(NºAsuntos!I12/NºAsuntos!G12),NºAsuntos!I12/NºAsuntos!G12," - ")</f>
        <v>3.5916030534351147</v>
      </c>
      <c r="D12" s="499">
        <f>IF(ISNUMBER('Resol  Asuntos'!D12/NºAsuntos!G12),'Resol  Asuntos'!D12/NºAsuntos!G12," - ")</f>
        <v>0.30534351145038169</v>
      </c>
      <c r="E12" s="500">
        <f>IF(ISNUMBER((NºAsuntos!C12+NºAsuntos!E12)/NºAsuntos!G12),(NºAsuntos!C12+NºAsuntos!E12)/NºAsuntos!G12," - ")</f>
        <v>4.5916030534351142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0.74238227146814406</v>
      </c>
      <c r="C14" s="1156">
        <f>IF(ISNUMBER(NºAsuntos!I14/NºAsuntos!G14),NºAsuntos!I14/NºAsuntos!G14," - ")</f>
        <v>3.6455223880597014</v>
      </c>
      <c r="D14" s="1157">
        <f>IF(ISNUMBER('Resol  Asuntos'!D14/NºAsuntos!G14),'Resol  Asuntos'!D14/NºAsuntos!G14," - ")</f>
        <v>0.29850746268656714</v>
      </c>
      <c r="E14" s="1158">
        <f>IF(ISNUMBER((NºAsuntos!C14+NºAsuntos!E14)/NºAsuntos!G14),(NºAsuntos!C14+NºAsuntos!E14)/NºAsuntos!G14," - ")</f>
        <v>4.6455223880597014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0.83437499999999998</v>
      </c>
      <c r="C17" s="498">
        <f>IF(ISNUMBER(NºAsuntos!I17/NºAsuntos!G17),NºAsuntos!I17/NºAsuntos!G17," - ")</f>
        <v>2.6404494382022472</v>
      </c>
      <c r="D17" s="499">
        <f>IF(ISNUMBER('Resol  Asuntos'!D17/NºAsuntos!G17),'Resol  Asuntos'!D17/NºAsuntos!G17," - ")</f>
        <v>7.8651685393258425E-2</v>
      </c>
      <c r="E17" s="500">
        <f>IF(ISNUMBER((NºAsuntos!C17+NºAsuntos!E17)/NºAsuntos!G17),(NºAsuntos!C17+NºAsuntos!E17)/NºAsuntos!G17," - ")</f>
        <v>3.6404494382022472</v>
      </c>
      <c r="G17" s="523"/>
    </row>
    <row r="18" spans="1:7">
      <c r="A18" s="450" t="str">
        <f>Datos!A18</f>
        <v>Jdos. Violencia contra la mujer</v>
      </c>
      <c r="B18" s="497">
        <f>IF(ISNUMBER(NºAsuntos!G18/NºAsuntos!E18),NºAsuntos!G18/NºAsuntos!E18," - ")</f>
        <v>0.7441860465116279</v>
      </c>
      <c r="C18" s="498">
        <f>IF(ISNUMBER(NºAsuntos!I18/NºAsuntos!G18),NºAsuntos!I18/NºAsuntos!G18," - ")</f>
        <v>3.625</v>
      </c>
      <c r="D18" s="499">
        <f>IF(ISNUMBER('Resol  Asuntos'!D18/NºAsuntos!G18),'Resol  Asuntos'!D18/NºAsuntos!G18," - ")</f>
        <v>0</v>
      </c>
      <c r="E18" s="500">
        <f>IF(ISNUMBER((NºAsuntos!C18+NºAsuntos!E18)/NºAsuntos!G18),(NºAsuntos!C18+NºAsuntos!E18)/NºAsuntos!G18," - ")</f>
        <v>4.625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0.82369146005509641</v>
      </c>
      <c r="C23" s="1156">
        <f>IF(ISNUMBER(NºAsuntos!I23/NºAsuntos!G23),NºAsuntos!I23/NºAsuntos!G23," - ")</f>
        <v>2.7458193979933112</v>
      </c>
      <c r="D23" s="1159">
        <f>IF(ISNUMBER('Resol  Asuntos'!D23/NºAsuntos!G23),'Resol  Asuntos'!D23/NºAsuntos!G23," - ")</f>
        <v>7.0234113712374577E-2</v>
      </c>
      <c r="E23" s="1158">
        <f>IF(ISNUMBER((NºAsuntos!C23+NºAsuntos!E23)/NºAsuntos!G23),(NºAsuntos!C23+NºAsuntos!E23)/NºAsuntos!G23," - ")</f>
        <v>3.7458193979933112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0.78314917127071826</v>
      </c>
      <c r="C31" s="1099">
        <f>IF(ISNUMBER(NºAsuntos!I31/NºAsuntos!G31),NºAsuntos!I31/NºAsuntos!G31," - ")</f>
        <v>3.1710758377425043</v>
      </c>
      <c r="D31" s="1100">
        <f>IF(ISNUMBER('Resol  Asuntos'!D31/NºAsuntos!G31),'Resol  Asuntos'!D31/NºAsuntos!G31," - ")</f>
        <v>0.17813051146384479</v>
      </c>
      <c r="E31" s="1101">
        <f>IF(ISNUMBER((NºAsuntos!C31+NºAsuntos!E31)/NºAsuntos!G31),(NºAsuntos!C31+NºAsuntos!E31)/NºAsuntos!G31," - ")</f>
        <v>4.1710758377425048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sFprsy2pBrc3Itt3e9HnL4Dbz3tagMgmAcN8KmL9bis65Xz8hYySXawhXOWlW9ROJ6/cSo8R4uBwmnMCVa+Tg==" saltValue="vZI+9TsWJmCcdA2NxGHK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MONFORTE DE LEMOS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36</v>
      </c>
      <c r="AB10" s="374">
        <f>IF(ISNUMBER(Datos!R10),Datos!R10," - ")</f>
        <v>0</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0.42857142857142855</v>
      </c>
      <c r="AM10" s="284">
        <f>IF(ISNUMBER(((NºAsuntos!I10/NºAsuntos!G10)*11)/factor_trimestre),((NºAsuntos!I10/NºAsuntos!G10)*11)/factor_trimestre," - ")</f>
        <v>12</v>
      </c>
      <c r="AN10" s="267">
        <f>IF(ISNUMBER('Resol  Asuntos'!D10/NºAsuntos!G10),'Resol  Asuntos'!D10/NºAsuntos!G10," - ")</f>
        <v>0</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0.75504322766570608</v>
      </c>
      <c r="AM12" s="284">
        <f>IF(ISNUMBER(((NºAsuntos!I12/NºAsuntos!G12)*11)/factor_trimestre),((NºAsuntos!I12/NºAsuntos!G12)*11)/factor_trimestre," - ")</f>
        <v>7.1832061068702293</v>
      </c>
      <c r="AN12" s="267">
        <f>IF(ISNUMBER('Resol  Asuntos'!D12/NºAsuntos!G12),'Resol  Asuntos'!D12/NºAsuntos!G12," - ")</f>
        <v>0.30534351145038169</v>
      </c>
      <c r="AO12" s="268">
        <f>IF(ISNUMBER((NºAsuntos!C12+NºAsuntos!E12)/NºAsuntos!G12),(NºAsuntos!C12+NºAsuntos!E12)/NºAsuntos!G12," - ")</f>
        <v>4.5916030534351142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28</v>
      </c>
      <c r="G14" s="1163">
        <f t="shared" si="5"/>
        <v>28</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27</v>
      </c>
      <c r="Y14" s="1165">
        <f t="shared" si="6"/>
        <v>33</v>
      </c>
      <c r="Z14" s="1165">
        <f t="shared" si="6"/>
        <v>0</v>
      </c>
      <c r="AA14" s="1165">
        <f t="shared" si="6"/>
        <v>36</v>
      </c>
      <c r="AB14" s="1165">
        <f t="shared" si="6"/>
        <v>720</v>
      </c>
      <c r="AC14" s="1165">
        <f t="shared" si="6"/>
        <v>36</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0.74238227146814406</v>
      </c>
      <c r="AM14" s="1171">
        <f>IF(ISNUMBER(((NºAsuntos!I14/NºAsuntos!G14)*11)/factor_trimestre),((NºAsuntos!I14/NºAsuntos!G14)*11)/factor_trimestre," - ")</f>
        <v>7.2910447761194028</v>
      </c>
      <c r="AN14" s="1172">
        <f>IF(ISNUMBER('Resol  Asuntos'!D14/NºAsuntos!G14),'Resol  Asuntos'!D14/NºAsuntos!G14," - ")</f>
        <v>0.29850746268656714</v>
      </c>
      <c r="AO14" s="1173">
        <f>IF(ISNUMBER((NºAsuntos!C14+NºAsuntos!E14)/NºAsuntos!G14),(NºAsuntos!C14+NºAsuntos!E14)/NºAsuntos!G14," - ")</f>
        <v>4.6455223880597014</v>
      </c>
      <c r="AP14" s="1174" t="str">
        <f t="shared" si="2"/>
        <v xml:space="preserve"> - </v>
      </c>
      <c r="AQ14" s="1174">
        <f>IF(ISNUMBER((H14-W14+K14)/(F14)),(H14-W14+K14)/(F14)," - ")</f>
        <v>-0.21428571428571427</v>
      </c>
      <c r="AR14" s="1175">
        <f>IF(ISNUMBER((Datos!P14-Datos!Q14)/(Datos!R14-Datos!P14+Datos!Q14)),(Datos!P14-Datos!Q14)/(Datos!R14-Datos!P14+Datos!Q14)," - ")</f>
        <v>2.4182076813655761E-2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652</v>
      </c>
      <c r="G17" s="373">
        <f>IF(ISNUMBER(IF(D_I="SI",Datos!I17,Datos!I17+Datos!AC17)),IF(D_I="SI",Datos!I17,Datos!I17+Datos!AC17)," - ")</f>
        <v>652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267</v>
      </c>
      <c r="X17" s="240">
        <f>IF(ISNUMBER(Datos!Q17),Datos!Q17," - ")</f>
        <v>1</v>
      </c>
      <c r="Y17" s="374">
        <f t="shared" ref="Y17:Y22" si="9">SUM(W17:X17)</f>
        <v>268</v>
      </c>
      <c r="Z17" s="375" t="str">
        <f>IF(ISNUMBER(Datos!CC17),Datos!CC17," - ")</f>
        <v xml:space="preserve"> - </v>
      </c>
      <c r="AA17" s="372">
        <f>IF(ISNUMBER(IF(D_I="SI",Datos!L17,Datos!L17+Datos!AF17)),IF(D_I="SI",Datos!L17,Datos!L17+Datos!AF17)," - ")</f>
        <v>705</v>
      </c>
      <c r="AB17" s="374">
        <f>IF(ISNUMBER(Datos!R17),Datos!R17," - ")</f>
        <v>51</v>
      </c>
      <c r="AC17" s="374">
        <f t="shared" si="8"/>
        <v>756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0.83437499999999998</v>
      </c>
      <c r="AM17" s="284">
        <f>IF(ISNUMBER(((NºAsuntos!I17/NºAsuntos!G17)*11)/factor_trimestre),((NºAsuntos!I17/NºAsuntos!G17)*11)/factor_trimestre," - ")</f>
        <v>5.2808988764044944</v>
      </c>
      <c r="AN17" s="267">
        <f>IF(ISNUMBER('Resol  Asuntos'!D17/NºAsuntos!G17),'Resol  Asuntos'!D17/NºAsuntos!G17," - ")</f>
        <v>7.8651685393258425E-2</v>
      </c>
      <c r="AO17" s="268">
        <f>IF(ISNUMBER((NºAsuntos!C17+NºAsuntos!E17)/NºAsuntos!G17),(NºAsuntos!C17+NºAsuntos!E17)/NºAsuntos!G17," - ")</f>
        <v>3.6404494382022472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116</v>
      </c>
      <c r="AB18" s="374">
        <f>IF(ISNUMBER(Datos!R18),Datos!R18," - ")</f>
        <v>3</v>
      </c>
      <c r="AC18" s="374">
        <f t="shared" si="8"/>
        <v>119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0.7441860465116279</v>
      </c>
      <c r="AM18" s="284">
        <f>IF(ISNUMBER(((NºAsuntos!I18/NºAsuntos!G18)*11)/factor_trimestre),((NºAsuntos!I18/NºAsuntos!G18)*11)/factor_trimestre," - ")</f>
        <v>7.25</v>
      </c>
      <c r="AN18" s="267">
        <f>IF(ISNUMBER('Resol  Asuntos'!D18/NºAsuntos!G18),'Resol  Asuntos'!D18/NºAsuntos!G18," - ")</f>
        <v>0</v>
      </c>
      <c r="AO18" s="268">
        <f>IF(ISNUMBER((NºAsuntos!C18+NºAsuntos!E18)/NºAsuntos!G18),(NºAsuntos!C18+NºAsuntos!E18)/NºAsuntos!G18," - ")</f>
        <v>4.625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652</v>
      </c>
      <c r="G23" s="1163">
        <f>SUBTOTAL(9,G16:G22)</f>
        <v>757</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299</v>
      </c>
      <c r="X23" s="1164">
        <f t="shared" si="14"/>
        <v>1</v>
      </c>
      <c r="Y23" s="1165">
        <f t="shared" si="14"/>
        <v>300</v>
      </c>
      <c r="Z23" s="1165">
        <f t="shared" si="14"/>
        <v>0</v>
      </c>
      <c r="AA23" s="1165">
        <f t="shared" si="14"/>
        <v>821</v>
      </c>
      <c r="AB23" s="1165">
        <f t="shared" si="14"/>
        <v>54</v>
      </c>
      <c r="AC23" s="1165">
        <f t="shared" si="14"/>
        <v>875</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0.82369146005509641</v>
      </c>
      <c r="AM23" s="1171">
        <f>IF(ISNUMBER(((NºAsuntos!I23/NºAsuntos!G23)*11)/factor_trimestre),((NºAsuntos!I23/NºAsuntos!G23)*11)/factor_trimestre," - ")</f>
        <v>5.4916387959866224</v>
      </c>
      <c r="AN23" s="1172">
        <f>IF(ISNUMBER('Resol  Asuntos'!D23/NºAsuntos!G23),'Resol  Asuntos'!D23/NºAsuntos!G23," - ")</f>
        <v>7.0234113712374577E-2</v>
      </c>
      <c r="AO23" s="1173">
        <f>IF(ISNUMBER((NºAsuntos!C23+NºAsuntos!E23)/NºAsuntos!G23),(NºAsuntos!C23+NºAsuntos!E23)/NºAsuntos!G23," - ")</f>
        <v>3.7458193979933112</v>
      </c>
      <c r="AP23" s="1174" t="str">
        <f t="shared" si="2"/>
        <v xml:space="preserve"> - </v>
      </c>
      <c r="AQ23" s="1174">
        <f>IF(ISNUMBER((H23-W23+K23)/(F23)),(H23-W23+K23)/(F23)," - ")</f>
        <v>-0.45858895705521474</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680</v>
      </c>
      <c r="G31" s="1118">
        <f t="shared" si="20"/>
        <v>785</v>
      </c>
      <c r="H31" s="1117">
        <f t="shared" si="20"/>
        <v>0</v>
      </c>
      <c r="I31" s="1119">
        <f t="shared" si="20"/>
        <v>0</v>
      </c>
      <c r="J31" s="1119">
        <f t="shared" si="20"/>
        <v>0</v>
      </c>
      <c r="K31" s="1180">
        <f t="shared" si="20"/>
        <v>0</v>
      </c>
      <c r="L31" s="1119">
        <f t="shared" si="20"/>
        <v>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305</v>
      </c>
      <c r="X31" s="1118">
        <f t="shared" si="21"/>
        <v>28</v>
      </c>
      <c r="Y31" s="1125">
        <f t="shared" si="21"/>
        <v>333</v>
      </c>
      <c r="Z31" s="1125">
        <f t="shared" si="21"/>
        <v>0</v>
      </c>
      <c r="AA31" s="1125">
        <f t="shared" si="21"/>
        <v>857</v>
      </c>
      <c r="AB31" s="1125">
        <f t="shared" si="21"/>
        <v>774</v>
      </c>
      <c r="AC31" s="1125">
        <f t="shared" si="21"/>
        <v>911</v>
      </c>
      <c r="AD31" s="1125">
        <f t="shared" si="21"/>
        <v>0</v>
      </c>
      <c r="AE31" s="1127">
        <f t="shared" si="21"/>
        <v>0</v>
      </c>
      <c r="AF31" s="1128">
        <f t="shared" si="21"/>
        <v>0</v>
      </c>
      <c r="AG31" s="1129">
        <f t="shared" si="21"/>
        <v>0</v>
      </c>
      <c r="AH31" s="1127">
        <f t="shared" si="21"/>
        <v>0</v>
      </c>
      <c r="AI31" s="1117">
        <f t="shared" si="21"/>
        <v>101</v>
      </c>
      <c r="AJ31" s="1117">
        <f t="shared" si="21"/>
        <v>0</v>
      </c>
      <c r="AK31" s="1127">
        <f t="shared" si="21"/>
        <v>0</v>
      </c>
      <c r="AL31" s="1183">
        <f>IF(ISNUMBER(NºAsuntos!G31/NºAsuntos!E31),NºAsuntos!G31/NºAsuntos!E31," - ")</f>
        <v>0.78314917127071826</v>
      </c>
      <c r="AM31" s="1184">
        <f>IF(ISNUMBER(((NºAsuntos!I31/NºAsuntos!G31)*11)/factor_trimestre),((NºAsuntos!I31/NºAsuntos!G31)*11)/factor_trimestre," - ")</f>
        <v>6.3421516754850096</v>
      </c>
      <c r="AN31" s="1184">
        <f>IF(ISNUMBER('Resol  Asuntos'!D31/NºAsuntos!G31),'Resol  Asuntos'!D31/NºAsuntos!G31," - ")</f>
        <v>0.17813051146384479</v>
      </c>
      <c r="AO31" s="1185">
        <f>IF(ISNUMBER((NºAsuntos!C31+NºAsuntos!E31)/NºAsuntos!G31),(NºAsuntos!C31+NºAsuntos!E31)/NºAsuntos!G31," - ")</f>
        <v>4.1710758377425048</v>
      </c>
      <c r="AP31" s="1186" t="str">
        <f t="shared" si="2"/>
        <v xml:space="preserve"> - </v>
      </c>
      <c r="AQ31" s="1187">
        <f>IF(OR(ISNUMBER(FIND("01",Criterios!A8,1)),ISNUMBER(FIND("02",Criterios!A8,1)),ISNUMBER(FIND("03",Criterios!A8,1)),ISNUMBER(FIND("04",Criterios!A8,1))),(I31-W31+K31)/(F31-K31),(H31-W31+K31)/(F31-K31))</f>
        <v>-0.4485294117647059</v>
      </c>
      <c r="AR31" s="1188">
        <f>IF(ISNUMBER((Datos!P31-Datos!Q31)/(Datos!R31-Datos!P31+Datos!Q31)),(Datos!P31-Datos!Q31)/(Datos!R31-Datos!P31+Datos!Q31)," - ")</f>
        <v>3.0625832223701729E-2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329.69966130808604</v>
      </c>
      <c r="G33" s="277">
        <f>IF(ISNUMBER(STDEV(G8:G30)),STDEV(G8:G30),"-")</f>
        <v>331.31491277721176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134.55411373796613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35.013262793241239</v>
      </c>
      <c r="AJ33" s="276">
        <f t="shared" si="25"/>
        <v>0</v>
      </c>
      <c r="AK33" s="278">
        <f t="shared" si="25"/>
        <v>0</v>
      </c>
      <c r="AL33" s="273">
        <f t="shared" si="25"/>
        <v>0.14904146288273032</v>
      </c>
      <c r="AM33" s="274">
        <f t="shared" si="25"/>
        <v>2.4237261211823209</v>
      </c>
      <c r="AN33" s="274">
        <f t="shared" si="25"/>
        <v>0.14073012611139249</v>
      </c>
      <c r="AO33" s="275">
        <f t="shared" si="25"/>
        <v>1.2118630605911604</v>
      </c>
      <c r="AP33" s="317" t="str">
        <f t="shared" si="25"/>
        <v>-</v>
      </c>
      <c r="AQ33" s="318">
        <f t="shared" si="25"/>
        <v>0.17274847962817713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wXARPlDoJjkfHGu/XRum52CN/3MxQrJR39xtta3e1Yb3Cr531E5NIAuYRVIMwYm1k8+Va0iPbomPYULdB0a2A==" saltValue="g7QF3sM+IcL+jkD6v7/0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MONFORTE DE LEMOS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0.6470588235294118</v>
      </c>
      <c r="E10" s="393">
        <f>IF(ISNUMBER((Datos!J10-Datos!T10)/Datos!T10),(Datos!J10-Datos!T10)/Datos!T10," - ")</f>
        <v>6</v>
      </c>
      <c r="F10" s="393" t="str">
        <f>IF(ISNUMBER((Datos!K10-Datos!U10)/Datos!U10),(Datos!K10-Datos!U10)/Datos!U10," - ")</f>
        <v xml:space="preserve"> - </v>
      </c>
      <c r="G10" s="394">
        <f>IF(ISNUMBER((Datos!L10-Datos!V10)/Datos!V10),(Datos!L10-Datos!V10)/Datos!V10," - ")</f>
        <v>0.89473684210526316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8.1081081081081086E-2</v>
      </c>
      <c r="I12" s="395">
        <f>IF(ISNUMBER((Tasas!C12-Datos!BE12)/Datos!BE12),(Tasas!C12-Datos!BE12)/Datos!BE12," - ")</f>
        <v>6.495206816971423E-2</v>
      </c>
      <c r="J12" s="394">
        <f>IF(ISNUMBER((Tasas!D12-Datos!BF12)/Datos!BF12),(Tasas!D12-Datos!BF12)/Datos!BF12," - ")</f>
        <v>8.1424936386768496E-2</v>
      </c>
      <c r="K12" s="396">
        <f>IF(ISNUMBER((Tasas!E12-Datos!BG12)/Datos!BG12),(Tasas!E12-Datos!BG12)/Datos!BG12," - ")</f>
        <v>5.0097559305788554E-2</v>
      </c>
      <c r="M12" t="e">
        <f>IF(Monitorios="SI",Datos!CE12,0)</f>
        <v>#REF!</v>
      </c>
      <c r="N12" t="e">
        <f>IF(Monitorios="SI",Datos!CF12,0)</f>
        <v>#REF!</v>
      </c>
      <c r="O12" t="e">
        <f>IF(Monitorios="SI",Datos!CG12,0)</f>
        <v>#REF!</v>
      </c>
      <c r="P12" t="e">
        <f>IF(Monitorios="SI",Datos!CH12,0)</f>
        <v>#REF!</v>
      </c>
      <c r="Q12">
        <f>IF(J_V="SI",0,Datos!AG12)</f>
        <v>37</v>
      </c>
      <c r="R12">
        <f>IF(J_V="SI",0,Datos!AH12)</f>
        <v>65</v>
      </c>
      <c r="S12">
        <f>IF(J_V="SI",0,Datos!AI12)</f>
        <v>47</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8.1081081081081086E-2</v>
      </c>
      <c r="I14" s="402">
        <f>IF(ISNUMBER((Tasas!C14-Datos!BE14)/Datos!BE14),(Tasas!C14-Datos!BE14)/Datos!BE14," - ")</f>
        <v>5.7574754215271681E-2</v>
      </c>
      <c r="J14" s="400">
        <f>IF(ISNUMBER((Tasas!D14-Datos!BF14)/Datos!BF14),(Tasas!D14-Datos!BF14)/Datos!BF14," - ")</f>
        <v>5.7213930348258626E-2</v>
      </c>
      <c r="K14" s="403">
        <f>IF(ISNUMBER((Tasas!E14-Datos!BG14)/Datos!BG14),(Tasas!E14-Datos!BG14)/Datos!BG14," - ")</f>
        <v>4.4628050225065087E-2</v>
      </c>
      <c r="M14" t="e">
        <f>IF(Monitorios="SI",Datos!CE14,0)</f>
        <v>#REF!</v>
      </c>
      <c r="N14" t="e">
        <f>IF(Monitorios="SI",Datos!CF14,0)</f>
        <v>#REF!</v>
      </c>
      <c r="O14" t="e">
        <f>IF(Monitorios="SI",Datos!CG14,0)</f>
        <v>#REF!</v>
      </c>
      <c r="P14" t="e">
        <f>IF(Monitorios="SI",Datos!CH14,0)</f>
        <v>#REF!</v>
      </c>
      <c r="Q14">
        <f>IF(J_V="SI",0,Datos!AG14)</f>
        <v>37</v>
      </c>
      <c r="R14">
        <f>IF(J_V="SI",0,Datos!AH14)</f>
        <v>65</v>
      </c>
      <c r="S14">
        <f>IF(J_V="SI",0,Datos!AI14)</f>
        <v>47</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0.20517560073937152</v>
      </c>
      <c r="E17" s="393">
        <f>IF(ISNUMBER(
   IF(D_I="SI",(Datos!J17-Datos!T17)/Datos!T17,(Datos!J17+Datos!AD17-(Datos!T17+Datos!AL17))/(Datos!T17+Datos!AL17))
     ),IF(D_I="SI",(Datos!J17-Datos!T17)/Datos!T17,(Datos!J17+Datos!AD17-(Datos!T17+Datos!AL17))/(Datos!T17+Datos!AL17))," - ")</f>
        <v>0.48837209302325579</v>
      </c>
      <c r="F17" s="393">
        <f>IF(ISNUMBER(
   IF(D_I="SI",(Datos!K17-Datos!U17)/Datos!U17,(Datos!K17+Datos!AE17-(Datos!U17+Datos!AM17))/(Datos!U17+Datos!AM17))
     ),IF(D_I="SI",(Datos!K17-Datos!U17)/Datos!U17,(Datos!K17+Datos!AE17-(Datos!U17+Datos!AM17))/(Datos!U17+Datos!AM17))," - ")</f>
        <v>0.38341968911917096</v>
      </c>
      <c r="G17" s="394">
        <f>IF(ISNUMBER(
   IF(D_I="SI",(Datos!L17-Datos!V17)/Datos!V17,(Datos!L17+Datos!AF17-(Datos!V17+Datos!AN17))/(Datos!V17+Datos!AN17))
     ),IF(D_I="SI",(Datos!L17-Datos!V17)/Datos!V17,(Datos!L17+Datos!AF17-(Datos!V17+Datos!AN17))/(Datos!V17+Datos!AN17))," - ")</f>
        <v>0.25</v>
      </c>
      <c r="H17" s="244">
        <f>IF(ISNUMBER((Datos!M17-Datos!W17)/Datos!W17),(Datos!M17-Datos!W17)/Datos!W17," - ")</f>
        <v>-0.22222222222222221</v>
      </c>
      <c r="I17" s="395">
        <f>IF(ISNUMBER((Tasas!C17-Datos!BE17)/Datos!BE17),(Tasas!C17-Datos!BE17)/Datos!BE17," - ")</f>
        <v>-9.6441947565543126E-2</v>
      </c>
      <c r="J17" s="394">
        <f>IF(ISNUMBER((Tasas!D17-Datos!BF17)/Datos!BF17),(Tasas!D17-Datos!BF17)/Datos!BF17," - ")</f>
        <v>-0.437786100707449</v>
      </c>
      <c r="K17" s="396">
        <f>IF(ISNUMBER((Tasas!E17-Datos!BG17)/Datos!BG17),(Tasas!E17-Datos!BG17)/Datos!BG17," - ")</f>
        <v>-7.0626003210272903E-2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0.34615384615384615</v>
      </c>
      <c r="E18" s="393">
        <f>IF(ISNUMBER(
   IF(D_I="SI",(Datos!J18-Datos!T18)/Datos!T18,(Datos!J18+Datos!AD18-(Datos!T18+Datos!AL18))/(Datos!T18+Datos!AL18))
     ),IF(D_I="SI",(Datos!J18-Datos!T18)/Datos!T18,(Datos!J18+Datos!AD18-(Datos!T18+Datos!AL18))/(Datos!T18+Datos!AL18))," - ")</f>
        <v>0.13157894736842105</v>
      </c>
      <c r="F18" s="393">
        <f>IF(ISNUMBER(
   IF(D_I="SI",(Datos!K18-Datos!U18)/Datos!U18,(Datos!K18+Datos!AE18-(Datos!U18+Datos!AM18))/(Datos!U18+Datos!AM18))
     ),IF(D_I="SI",(Datos!K18-Datos!U18)/Datos!U18,(Datos!K18+Datos!AE18-(Datos!U18+Datos!AM18))/(Datos!U18+Datos!AM18))," - ")</f>
        <v>0.23076923076923078</v>
      </c>
      <c r="G18" s="394">
        <f>IF(ISNUMBER(
   IF(D_I="SI",(Datos!L18-Datos!V18)/Datos!V18,(Datos!L18+Datos!AF18-(Datos!V18+Datos!AN18))/(Datos!V18+Datos!AN18))
     ),IF(D_I="SI",(Datos!L18-Datos!V18)/Datos!V18,(Datos!L18+Datos!AF18-(Datos!V18+Datos!AN18))/(Datos!V18+Datos!AN18))," - ")</f>
        <v>0.28888888888888886</v>
      </c>
      <c r="H18" s="244" t="str">
        <f>IF(ISNUMBER((Datos!M18-Datos!W18)/Datos!W18),(Datos!M18-Datos!W18)/Datos!W18," - ")</f>
        <v xml:space="preserve"> - </v>
      </c>
      <c r="I18" s="395">
        <f>IF(ISNUMBER((Tasas!C18-Datos!BE18)/Datos!BE18),(Tasas!C18-Datos!BE18)/Datos!BE18," - ")</f>
        <v>4.7222222222222179E-2</v>
      </c>
      <c r="J18" s="394" t="str">
        <f>IF(ISNUMBER((Tasas!D18-Datos!BF18)/Datos!BF18),(Tasas!D18-Datos!BF18)/Datos!BF18," - ")</f>
        <v xml:space="preserve"> - </v>
      </c>
      <c r="K18" s="396">
        <f>IF(ISNUMBER((Tasas!E18-Datos!BG18)/Datos!BG18),(Tasas!E18-Datos!BG18)/Datos!BG18," - ")</f>
        <v>3.6637931034482728E-2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0.22294022617124395</v>
      </c>
      <c r="E23" s="399">
        <f>IF(ISNUMBER(
   IF(D_I="SI",(Datos!J23-Datos!T23)/Datos!T23,(Datos!J23+Datos!AD23-(Datos!T23+Datos!AL23))/(Datos!T23+Datos!AL23))
     ),IF(D_I="SI",(Datos!J23-Datos!T23)/Datos!T23,(Datos!J23+Datos!AD23-(Datos!T23+Datos!AL23))/(Datos!T23+Datos!AL23))," - ")</f>
        <v>0.43478260869565216</v>
      </c>
      <c r="F23" s="399">
        <f>IF(ISNUMBER(
   IF(D_I="SI",(Datos!K23-Datos!U23)/Datos!U23,(Datos!K23+Datos!AE23-(Datos!U23+Datos!AM23))/(Datos!U23+Datos!AM23))
     ),IF(D_I="SI",(Datos!K23-Datos!U23)/Datos!U23,(Datos!K23+Datos!AE23-(Datos!U23+Datos!AM23))/(Datos!U23+Datos!AM23))," - ")</f>
        <v>0.36529680365296802</v>
      </c>
      <c r="G23" s="400">
        <f>IF(ISNUMBER(
   IF(D_I="SI",(Datos!L23-Datos!V23)/Datos!V23,(Datos!L23+Datos!AF23-(Datos!V23+Datos!AN23))/(Datos!V23+Datos!AN23))
     ),IF(D_I="SI",(Datos!L23-Datos!V23)/Datos!V23,(Datos!L23+Datos!AF23-(Datos!V23+Datos!AN23))/(Datos!V23+Datos!AN23))," - ")</f>
        <v>0.25535168195718655</v>
      </c>
      <c r="H23" s="401">
        <f>IF(ISNUMBER((Datos!M23-Datos!W23)/Datos!W23),(Datos!M23-Datos!W23)/Datos!W23," - ")</f>
        <v>-0.22222222222222221</v>
      </c>
      <c r="I23" s="402">
        <f>IF(ISNUMBER((Tasas!C23-Datos!BE23)/Datos!BE23),(Tasas!C23-Datos!BE23)/Datos!BE23," - ")</f>
        <v>-8.0528366727010456E-2</v>
      </c>
      <c r="J23" s="400">
        <f>IF(ISNUMBER((Tasas!D23-Datos!BF23)/Datos!BF23),(Tasas!D23-Datos!BF23)/Datos!BF23," - ")</f>
        <v>-0.43032329988851731</v>
      </c>
      <c r="K23" s="403">
        <f>IF(ISNUMBER((Tasas!E23-Datos!BG23)/Datos!BG23),(Tasas!E23-Datos!BG23)/Datos!BG23," - ")</f>
        <v>-5.9249486054432109E-2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0.13094417643004824</v>
      </c>
      <c r="E31" s="409">
        <f>IF(ISNUMBER(
   IF(J_V="SI",(Datos!J31-Datos!T31)/Datos!T31,(Datos!J31+Datos!Z31-(Datos!T31+Datos!AH31))/(Datos!T31+Datos!AH31))
     ),IF(J_V="SI",(Datos!J31-Datos!T31)/Datos!T31,(Datos!J31+Datos!Z31-(Datos!T31+Datos!AH31))/(Datos!T31+Datos!AH31))," - ")</f>
        <v>0.3045045045045045</v>
      </c>
      <c r="F31" s="409">
        <f>IF(ISNUMBER(
   IF(J_V="SI",(Datos!K31-Datos!U31)/Datos!U31,(Datos!K31+Datos!AA31-(Datos!U31+Datos!AI31))/(Datos!U31+Datos!AI31))
     ),IF(J_V="SI",(Datos!K31-Datos!U31)/Datos!U31,(Datos!K31+Datos!AA31-(Datos!U31+Datos!AI31))/(Datos!U31+Datos!AI31))," - ")</f>
        <v>0.19620253164556961</v>
      </c>
      <c r="G31" s="410">
        <f>IF(ISNUMBER(
   IF(J_V="SI",(Datos!L31-Datos!V31)/Datos!V31,(Datos!L31+Datos!AB31-(Datos!V31+Datos!AJ31))/(Datos!V31+Datos!AJ31))
     ),IF(J_V="SI",(Datos!L31-Datos!V31)/Datos!V31,(Datos!L31+Datos!AB31-(Datos!V31+Datos!AJ31))/(Datos!V31+Datos!AJ31))," - ")</f>
        <v>0.17286366601435094</v>
      </c>
      <c r="H31" s="411">
        <f>IF(ISNUMBER((Datos!M31-Datos!W31)/Datos!W31),(Datos!M31-Datos!W31)/Datos!W31," - ")</f>
        <v>0</v>
      </c>
      <c r="I31" s="408">
        <f>IF(ISNUMBER((Tasas!C31-Datos!BE31)/Datos!BE31),(Tasas!C31-Datos!BE31)/Datos!BE31," - ")</f>
        <v>-1.9510797723452641E-2</v>
      </c>
      <c r="J31" s="409">
        <f>IF(ISNUMBER((Tasas!D31-Datos!BF31)/Datos!BF31),(Tasas!D31-Datos!BF31)/Datos!BF31," - ")</f>
        <v>-0.14713270268825832</v>
      </c>
      <c r="K31" s="410">
        <f>IF(ISNUMBER((Tasas!E31-Datos!BG31)/Datos!BG31),(Tasas!E31-Datos!BG31)/Datos!BG31," - ")</f>
        <v>-1.4411791081781034E-2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0.2043390190271748</v>
      </c>
      <c r="E33" s="303">
        <f t="shared" si="1"/>
        <v>2.8285767635902124</v>
      </c>
      <c r="F33" s="303">
        <f t="shared" si="1"/>
        <v>8.3394913192249856E-2</v>
      </c>
      <c r="G33" s="304">
        <f t="shared" si="1"/>
        <v>0.31546479616452205</v>
      </c>
      <c r="H33" s="310">
        <f t="shared" si="1"/>
        <v>0.17511224380826487</v>
      </c>
      <c r="I33" s="302">
        <f t="shared" si="1"/>
        <v>7.9904629879716985E-2</v>
      </c>
      <c r="J33" s="303">
        <f t="shared" si="1"/>
        <v>0.29080718213747703</v>
      </c>
      <c r="K33" s="304">
        <f t="shared" si="1"/>
        <v>5.9878747009294971E-2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wXucZVmGpPTklMGy6LMo+giaiDZek8tahAM0fiPXgr06ihzRCSraF9BbIDQZsvMJ2oWTZaTlybsGbtGHdjZIg==" saltValue="Jo41Zi45kWSBN2cCXMtn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